
<file path=[Content_Types].xml><?xml version="1.0" encoding="utf-8"?>
<Types xmlns="http://schemas.openxmlformats.org/package/2006/content-type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G:\Projects_EDRisk\DG_2013_InfoRM\INFORM\Pilots\Regional\East Africa\Output\"/>
    </mc:Choice>
  </mc:AlternateContent>
  <bookViews>
    <workbookView xWindow="2925" yWindow="0" windowWidth="14745" windowHeight="14640" tabRatio="926" firstSheet="1" activeTab="2"/>
  </bookViews>
  <sheets>
    <sheet name="Home" sheetId="73" r:id="rId1"/>
    <sheet name="Table of Contents" sheetId="72" r:id="rId2"/>
    <sheet name="INFORM GHoA 2015 (a-z)" sheetId="5" r:id="rId3"/>
    <sheet name="Hazard &amp; Exposure" sheetId="75" r:id="rId4"/>
    <sheet name="Vulnerability" sheetId="3" r:id="rId5"/>
    <sheet name="Lack of Coping Capacity" sheetId="4" r:id="rId6"/>
    <sheet name="Indicator Data" sheetId="74" r:id="rId7"/>
    <sheet name="Indicator Data (national)" sheetId="78" r:id="rId8"/>
    <sheet name="KEN_ADM Lookup" sheetId="79" r:id="rId9"/>
    <sheet name="UGA_ADM Lookup" sheetId="80" r:id="rId10"/>
    <sheet name="Indicator Metadata" sheetId="7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ISC01">[1]Q_ISC1!$A$1:$IV$12</definedName>
    <definedName name="__ISC2">[2]Q_ISC2!$A$1:$IV$18</definedName>
    <definedName name="__ISC3">[3]ISC01!$B$1:$B$65536+[4]Q_ISC3!$A$1:$IV$23</definedName>
    <definedName name="_2012.06.11___GFM_Indicator_List" localSheetId="10">'Indicator Metadata'!$F$13:$M$41</definedName>
    <definedName name="_C1.1a" localSheetId="3">#REF!</definedName>
    <definedName name="_C1.1a" localSheetId="7">#REF!</definedName>
    <definedName name="_C1.1a">#REF!</definedName>
    <definedName name="_xlnm._FilterDatabase" localSheetId="3" hidden="1">'Hazard &amp; Exposure'!$A$2:$Z$2</definedName>
    <definedName name="_xlnm._FilterDatabase" localSheetId="2" hidden="1">'INFORM GHoA 2015 (a-z)'!$A$3:$AE$3</definedName>
    <definedName name="_ISC01">[1]Q_ISC1!$A$1:$IV$12</definedName>
    <definedName name="_ISC2">[2]Q_ISC2!$A$1:$IV$18</definedName>
    <definedName name="_ISC3">[3]ISC01!$B$1:$B$65536+[4]Q_ISC3!$A$1:$IV$23</definedName>
    <definedName name="_ISC567">[5]Q_ISC567!$A$1:$IV$23</definedName>
    <definedName name="_Key1" localSheetId="3" hidden="1">#REF!</definedName>
    <definedName name="_Key1" localSheetId="7" hidden="1">#REF!</definedName>
    <definedName name="_Key1" hidden="1">#REF!</definedName>
    <definedName name="_Order1" hidden="1">255</definedName>
    <definedName name="_Sort" localSheetId="3" hidden="1">#REF!</definedName>
    <definedName name="_Sort" localSheetId="7" hidden="1">#REF!</definedName>
    <definedName name="_Sort" hidden="1">#REF!</definedName>
    <definedName name="_TAB1" localSheetId="3">#REF!</definedName>
    <definedName name="_TAB1" localSheetId="7">#REF!</definedName>
    <definedName name="_TAB1">#REF!</definedName>
    <definedName name="aa" localSheetId="3">#REF!</definedName>
    <definedName name="aa" localSheetId="7">#REF!</definedName>
    <definedName name="aa">#REF!</definedName>
    <definedName name="Australia_5B">[6]GRAD!$E$32:$G$32</definedName>
    <definedName name="Austria_5B">[6]GRAD!$E$33:$G$33</definedName>
    <definedName name="B7_STRatio" localSheetId="3">#REF!</definedName>
    <definedName name="B7_STRatio" localSheetId="7">#REF!</definedName>
    <definedName name="B7_STRatio">#REF!</definedName>
    <definedName name="Belgium_5B">[6]GRAD!$E$34:$G$34</definedName>
    <definedName name="body" localSheetId="3">#REF!</definedName>
    <definedName name="body" localSheetId="7">#REF!</definedName>
    <definedName name="body">#REF!</definedName>
    <definedName name="C1.1a" localSheetId="3">#REF!</definedName>
    <definedName name="C1.1a" localSheetId="7">#REF!</definedName>
    <definedName name="C1.1a">#REF!</definedName>
    <definedName name="calcul">[7]Calcul_B1.1!$A$1:$L$37</definedName>
    <definedName name="Civics">[8]scatterplots!$R$4:$R$8</definedName>
    <definedName name="CLI_INDICATOR_DATA">[9]DATA!$A$1:$AJ$4618</definedName>
    <definedName name="count">[10]Transformed!$B$3:$EN$84</definedName>
    <definedName name="countries" localSheetId="3">#REF!</definedName>
    <definedName name="countries" localSheetId="7">#REF!</definedName>
    <definedName name="countries">#REF!</definedName>
    <definedName name="COUNTRY" localSheetId="3">#REF!</definedName>
    <definedName name="COUNTRY" localSheetId="7">#REF!</definedName>
    <definedName name="COUNTRY">#REF!</definedName>
    <definedName name="Czech_Republic_5B">[6]GRAD!$E$35:$G$35</definedName>
    <definedName name="DATA7" localSheetId="3">#REF!</definedName>
    <definedName name="DATA7" localSheetId="7">#REF!</definedName>
    <definedName name="DATA7">#REF!</definedName>
    <definedName name="dcountind">[10]Transformed!$B$3:$EN$84</definedName>
    <definedName name="Denmark_5B">[6]GRAD!$E$37:$G$37</definedName>
    <definedName name="dsumsdata">[11]Weighted!$A$2:$IM$91</definedName>
    <definedName name="dsumsweights">[11]Weights!$A$2:$IM$91</definedName>
    <definedName name="f1_time">[12]F1_TIME!$A$1:$D$31</definedName>
    <definedName name="fg_567">[13]FG_567!$A$1:$AC$30</definedName>
    <definedName name="FG_ISC123">[14]FG_123!$A$1:$AZ$45</definedName>
    <definedName name="FG_ISC567">[13]FG_567!$A$1:$AZ$45</definedName>
    <definedName name="Finland_5B">[6]GRAD!$E$36:$G$36</definedName>
    <definedName name="France_5B">[6]GRAD!$E$38:$G$38</definedName>
    <definedName name="Germany_5B">[6]GRAD!$E$39:$G$39</definedName>
    <definedName name="Hungary_5B">[6]GRAD!$E$41:$G$41</definedName>
    <definedName name="Iceland_5B">[6]GRAD!$E$42:$G$42</definedName>
    <definedName name="INDF1">[15]F1_ALL!$A$1:$AZ$50</definedName>
    <definedName name="indf11">[16]F11_ALL!$A$1:$AZ$15</definedName>
    <definedName name="indf11_94">[17]F11_A94!$A$1:$AE$15</definedName>
    <definedName name="INDF12">[18]F12_ALL!$A$1:$AJ$25</definedName>
    <definedName name="INDF13">[19]F13_ALL!$A$1:$AH$10</definedName>
    <definedName name="Ireland_5B">[6]GRAD!$E$43:$G$43</definedName>
    <definedName name="Italy_5B">[6]GRAD!$E$45:$G$45</definedName>
    <definedName name="Japan_5B">[6]GRAD!$E$46:$G$46</definedName>
    <definedName name="keyindicators">[20]Database!$G$15:$EN$21</definedName>
    <definedName name="Korea_5B">[6]GRAD!$E$47:$G$47</definedName>
    <definedName name="luCountries">[21]tblCountries!$E$3:$E$109</definedName>
    <definedName name="Men">[6]GRAD!$F$2:$F$61</definedName>
    <definedName name="Mexico_5B">[6]GRAD!$E$49:$G$49</definedName>
    <definedName name="Netherlands_5B">[6]GRAD!$E$50:$G$50</definedName>
    <definedName name="New_Zealand_5B">[6]GRAD!$E$51:$G$51</definedName>
    <definedName name="Norway_5B">[6]GRAD!$E$52:$G$52</definedName>
    <definedName name="p5_age">[22]p5_ageISC5a!$A$1:$D$55</definedName>
    <definedName name="p5nr">[23]P5nr_2!$A$1:$AC$43</definedName>
    <definedName name="pillars">[10]Scores!$E$10:$AY$252</definedName>
    <definedName name="Poland_5B">[6]GRAD!$E$53:$G$53</definedName>
    <definedName name="POpula">[24]POpula!$A$1:$I$1559</definedName>
    <definedName name="Portugal_5B">[6]GRAD!$E$54:$G$54</definedName>
    <definedName name="_xlnm.Print_Area" localSheetId="2">'INFORM GHoA 2015 (a-z)'!$A$1:$AE$12</definedName>
    <definedName name="_xlnm.Print_Titles" localSheetId="2">'INFORM GHoA 2015 (a-z)'!$2:$2</definedName>
    <definedName name="Ranks">[20]Rankings!$B$2:$AF$133</definedName>
    <definedName name="RankSort">'[10]Rankings per variable'!$A$1:$FJ$134</definedName>
    <definedName name="Scores">[20]Scores!$E$10:$AY$141</definedName>
    <definedName name="Sheet1" localSheetId="3">#REF!</definedName>
    <definedName name="Sheet1" localSheetId="7">#REF!</definedName>
    <definedName name="Sheet1">#REF!</definedName>
    <definedName name="Slovakia_5B">[6]GRAD!$E$55:$G$55</definedName>
    <definedName name="Spain_5B">[6]GRAD!$E$56:$G$56</definedName>
    <definedName name="SPSS">[25]Figure5.6!$B$2:$X$30</definedName>
    <definedName name="Sufficient_Food" localSheetId="3">#REF!</definedName>
    <definedName name="Sufficient_Food" localSheetId="7">#REF!</definedName>
    <definedName name="Sufficient_Food">#REF!</definedName>
    <definedName name="Sweden_5B">[6]GRAD!$E$57:$G$57</definedName>
    <definedName name="Switzerland_5B">[6]GRAD!$E$58:$G$58</definedName>
    <definedName name="SysFinanceYearEnd" localSheetId="3">#REF!</definedName>
    <definedName name="SysFinanceYearEnd" localSheetId="7">#REF!</definedName>
    <definedName name="SysFinanceYearEnd">#REF!</definedName>
    <definedName name="SysFinanceYearStart" localSheetId="3">#REF!</definedName>
    <definedName name="SysFinanceYearStart" localSheetId="7">#REF!</definedName>
    <definedName name="SysFinanceYearStart">#REF!</definedName>
    <definedName name="toto">'[26]Graph 3.7.a'!$B$125:$C$151</definedName>
    <definedName name="Turkey_5B">[6]GRAD!$E$59:$G$59</definedName>
    <definedName name="United_Kingdom_5B">[6]GRAD!$E$60:$G$60</definedName>
    <definedName name="United_States_5B">[6]GRAD!$E$61:$G$61</definedName>
    <definedName name="Valueranks">'[20]Rankings per country'!$A$3:$ED$85</definedName>
    <definedName name="Values">[20]Original!$C$3:$EN$84</definedName>
    <definedName name="weight">[27]F5_W!$A$1:$C$33</definedName>
    <definedName name="Women">[6]GRAD!$G$2:$G$61</definedName>
    <definedName name="xxxx">[28]CURR6!$F$1</definedName>
    <definedName name="xxxxx">[28]CURR6!$F$1</definedName>
    <definedName name="xxxxxxxx">[29]CURR6!$F$1</definedName>
    <definedName name="year">[20]Database!$C$142:$EN$197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E113" i="75" l="1"/>
  <c r="E114" i="75"/>
  <c r="E115" i="75"/>
  <c r="E116" i="75"/>
  <c r="E117" i="75"/>
  <c r="E118" i="75"/>
  <c r="E119" i="75"/>
  <c r="E120" i="75"/>
  <c r="E121" i="75"/>
  <c r="E122" i="75"/>
  <c r="E123" i="75"/>
  <c r="E124" i="75"/>
  <c r="E125" i="75"/>
  <c r="E126" i="75"/>
  <c r="E127" i="75"/>
  <c r="E128" i="75"/>
  <c r="E129" i="75"/>
  <c r="E130" i="75"/>
  <c r="E131" i="75"/>
  <c r="E132" i="75"/>
  <c r="E133" i="75"/>
  <c r="E134" i="75"/>
  <c r="E135" i="75"/>
  <c r="E136" i="75"/>
  <c r="E137" i="75"/>
  <c r="E138" i="75"/>
  <c r="E139" i="75"/>
  <c r="E140" i="75"/>
  <c r="E141" i="75"/>
  <c r="E142" i="75"/>
  <c r="E143" i="75"/>
  <c r="E144" i="75"/>
  <c r="E145" i="75"/>
  <c r="E146" i="75"/>
  <c r="E147" i="75"/>
  <c r="E148" i="75"/>
  <c r="E112" i="75"/>
  <c r="E88" i="75"/>
  <c r="E21" i="75"/>
  <c r="E22" i="75"/>
  <c r="E23" i="75"/>
  <c r="E24" i="75"/>
  <c r="E25" i="75"/>
  <c r="E26" i="75"/>
  <c r="E27" i="75"/>
  <c r="E28" i="75"/>
  <c r="E29" i="75"/>
  <c r="E30" i="75"/>
  <c r="E31" i="75"/>
  <c r="E32" i="75"/>
  <c r="E33" i="75"/>
  <c r="E34" i="75"/>
  <c r="E35" i="75"/>
  <c r="E36" i="75"/>
  <c r="E37" i="75"/>
  <c r="E38" i="75"/>
  <c r="E39" i="75"/>
  <c r="E40" i="75"/>
  <c r="E41" i="75"/>
  <c r="E42" i="75"/>
  <c r="E43" i="75"/>
  <c r="E44" i="75"/>
  <c r="E45" i="75"/>
  <c r="E46" i="75"/>
  <c r="E47" i="75"/>
  <c r="E48" i="75"/>
  <c r="E49" i="75"/>
  <c r="E50" i="75"/>
  <c r="E51" i="75"/>
  <c r="E52" i="75"/>
  <c r="E53" i="75"/>
  <c r="E54" i="75"/>
  <c r="E55" i="75"/>
  <c r="E56" i="75"/>
  <c r="E57" i="75"/>
  <c r="E58" i="75"/>
  <c r="E59" i="75"/>
  <c r="E60" i="75"/>
  <c r="E61" i="75"/>
  <c r="E62" i="75"/>
  <c r="E63" i="75"/>
  <c r="E64" i="75"/>
  <c r="E65" i="75"/>
  <c r="E66" i="75"/>
  <c r="E67" i="75"/>
  <c r="E68" i="75"/>
  <c r="E69" i="75"/>
  <c r="E70" i="75"/>
  <c r="E71" i="75"/>
  <c r="E72" i="75"/>
  <c r="E73" i="75"/>
  <c r="E74" i="75"/>
  <c r="E75" i="75"/>
  <c r="E76" i="75"/>
  <c r="E77" i="75"/>
  <c r="E78" i="75"/>
  <c r="E79" i="75"/>
  <c r="E80" i="75"/>
  <c r="E81" i="75"/>
  <c r="E82" i="75"/>
  <c r="E83" i="75"/>
  <c r="E84" i="75"/>
  <c r="E85" i="75"/>
  <c r="E86" i="75"/>
  <c r="E87" i="75"/>
  <c r="E20" i="75"/>
  <c r="V119" i="75"/>
  <c r="V120" i="75"/>
  <c r="V121" i="75"/>
  <c r="V122" i="75"/>
  <c r="V123" i="75"/>
  <c r="V124" i="75"/>
  <c r="V125" i="75"/>
  <c r="V126" i="75"/>
  <c r="V127" i="75"/>
  <c r="V128" i="75"/>
  <c r="V129" i="75"/>
  <c r="V130" i="75"/>
  <c r="V131" i="75"/>
  <c r="V132" i="75"/>
  <c r="V133" i="75"/>
  <c r="V134" i="75"/>
  <c r="V135" i="75"/>
  <c r="V136" i="75"/>
  <c r="V137" i="75"/>
  <c r="V138" i="75"/>
  <c r="V139" i="75"/>
  <c r="V140" i="75"/>
  <c r="V141" i="75"/>
  <c r="V142" i="75"/>
  <c r="V143" i="75"/>
  <c r="V144" i="75"/>
  <c r="V145" i="75"/>
  <c r="V146" i="75"/>
  <c r="V147" i="75"/>
  <c r="V148" i="75"/>
  <c r="V3" i="75"/>
  <c r="V4" i="75"/>
  <c r="V5" i="75"/>
  <c r="V6" i="75"/>
  <c r="V7" i="75"/>
  <c r="V8" i="75"/>
  <c r="V9" i="75"/>
  <c r="V10" i="75"/>
  <c r="V11" i="75"/>
  <c r="V12" i="75"/>
  <c r="V13" i="75"/>
  <c r="V14" i="75"/>
  <c r="V15" i="75"/>
  <c r="V16" i="75"/>
  <c r="V17" i="75"/>
  <c r="V18" i="75"/>
  <c r="V19" i="75"/>
  <c r="V20" i="75"/>
  <c r="V21" i="75"/>
  <c r="V22" i="75"/>
  <c r="V23" i="75"/>
  <c r="V24" i="75"/>
  <c r="V25" i="75"/>
  <c r="V26" i="75"/>
  <c r="V27" i="75"/>
  <c r="V28" i="75"/>
  <c r="V29" i="75"/>
  <c r="V30" i="75"/>
  <c r="V31" i="75"/>
  <c r="V32" i="75"/>
  <c r="V33" i="75"/>
  <c r="V34" i="75"/>
  <c r="V35" i="75"/>
  <c r="V36" i="75"/>
  <c r="V37" i="75"/>
  <c r="V38" i="75"/>
  <c r="V39" i="75"/>
  <c r="V40" i="75"/>
  <c r="V41" i="75"/>
  <c r="V42" i="75"/>
  <c r="V43" i="75"/>
  <c r="V44" i="75"/>
  <c r="V45" i="75"/>
  <c r="V46" i="75"/>
  <c r="V47" i="75"/>
  <c r="V48" i="75"/>
  <c r="V49" i="75"/>
  <c r="V50" i="75"/>
  <c r="V51" i="75"/>
  <c r="V52" i="75"/>
  <c r="V53" i="75"/>
  <c r="V54" i="75"/>
  <c r="V55" i="75"/>
  <c r="V56" i="75"/>
  <c r="V57" i="75"/>
  <c r="V58" i="75"/>
  <c r="V59" i="75"/>
  <c r="V60" i="75"/>
  <c r="V61" i="75"/>
  <c r="V62" i="75"/>
  <c r="V63" i="75"/>
  <c r="V64" i="75"/>
  <c r="V65" i="75"/>
  <c r="V66" i="75"/>
  <c r="V67" i="75"/>
  <c r="V68" i="75"/>
  <c r="V69" i="75"/>
  <c r="V70" i="75"/>
  <c r="V71" i="75"/>
  <c r="V72" i="75"/>
  <c r="V73" i="75"/>
  <c r="V74" i="75"/>
  <c r="V75" i="75"/>
  <c r="V76" i="75"/>
  <c r="V77" i="75"/>
  <c r="V78" i="75"/>
  <c r="V79" i="75"/>
  <c r="V80" i="75"/>
  <c r="V81" i="75"/>
  <c r="V82" i="75"/>
  <c r="V83" i="75"/>
  <c r="V84" i="75"/>
  <c r="V85" i="75"/>
  <c r="V86" i="75"/>
  <c r="V87" i="75"/>
  <c r="V88" i="75"/>
  <c r="V89" i="75"/>
  <c r="V90" i="75"/>
  <c r="V91" i="75"/>
  <c r="V92" i="75"/>
  <c r="V93" i="75"/>
  <c r="V94" i="75"/>
  <c r="V95" i="75"/>
  <c r="V96" i="75"/>
  <c r="V97" i="75"/>
  <c r="V98" i="75"/>
  <c r="V99" i="75"/>
  <c r="V100" i="75"/>
  <c r="V101" i="75"/>
  <c r="V102" i="75"/>
  <c r="V103" i="75"/>
  <c r="V104" i="75"/>
  <c r="V105" i="75"/>
  <c r="V106" i="75"/>
  <c r="V107" i="75"/>
  <c r="V108" i="75"/>
  <c r="V109" i="75"/>
  <c r="V110" i="75"/>
  <c r="V111" i="75"/>
  <c r="V112" i="75"/>
  <c r="V113" i="75"/>
  <c r="V114" i="75"/>
  <c r="V115" i="75"/>
  <c r="V116" i="75"/>
  <c r="V117" i="75"/>
  <c r="V118" i="75"/>
  <c r="V43" i="74"/>
  <c r="V41" i="74"/>
  <c r="V40" i="74"/>
  <c r="V35" i="74"/>
  <c r="V34" i="74"/>
  <c r="AR11" i="78"/>
  <c r="AA22" i="74"/>
  <c r="AC105" i="4"/>
  <c r="AE105" i="4" s="1"/>
  <c r="AD105" i="4"/>
  <c r="X105" i="4"/>
  <c r="Y105" i="4"/>
  <c r="AB105" i="4" s="1"/>
  <c r="Z105" i="4"/>
  <c r="AA105" i="4"/>
  <c r="W105" i="4"/>
  <c r="AF105" i="4"/>
  <c r="AG105" i="4"/>
  <c r="AH105" i="4"/>
  <c r="AI105" i="4"/>
  <c r="AR8" i="78"/>
  <c r="AR9" i="78"/>
  <c r="AR13" i="78"/>
  <c r="AC120" i="4"/>
  <c r="AD120" i="4"/>
  <c r="AE120" i="4" s="1"/>
  <c r="AB137" i="5" s="1"/>
  <c r="AC121" i="4"/>
  <c r="AE121" i="4" s="1"/>
  <c r="AB107" i="5" s="1"/>
  <c r="AD121" i="4"/>
  <c r="AC113" i="4"/>
  <c r="AD113" i="4"/>
  <c r="AE113" i="4" s="1"/>
  <c r="AB142" i="5" s="1"/>
  <c r="AC118" i="4"/>
  <c r="AE118" i="4" s="1"/>
  <c r="AB139" i="5" s="1"/>
  <c r="AD118" i="4"/>
  <c r="AC116" i="4"/>
  <c r="AD116" i="4"/>
  <c r="AE116" i="4" s="1"/>
  <c r="AB125" i="5" s="1"/>
  <c r="AC114" i="4"/>
  <c r="AE114" i="4" s="1"/>
  <c r="AB140" i="5" s="1"/>
  <c r="AD114" i="4"/>
  <c r="AC112" i="4"/>
  <c r="AD112" i="4"/>
  <c r="AE112" i="4" s="1"/>
  <c r="AB136" i="5" s="1"/>
  <c r="AC115" i="4"/>
  <c r="AE115" i="4" s="1"/>
  <c r="AB135" i="5" s="1"/>
  <c r="AD115" i="4"/>
  <c r="AQ12" i="78"/>
  <c r="AF4" i="4"/>
  <c r="AF5" i="4"/>
  <c r="AF6" i="4"/>
  <c r="AF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3" i="4"/>
  <c r="AG3" i="4"/>
  <c r="AG4" i="4"/>
  <c r="AG5" i="4"/>
  <c r="AG6" i="4"/>
  <c r="AG7" i="4"/>
  <c r="AG8" i="4"/>
  <c r="AG9" i="4"/>
  <c r="AG10" i="4"/>
  <c r="AG11" i="4"/>
  <c r="AG12" i="4"/>
  <c r="AG13" i="4"/>
  <c r="AG14" i="4"/>
  <c r="AG15" i="4"/>
  <c r="AG16" i="4"/>
  <c r="AG17" i="4"/>
  <c r="AG18" i="4"/>
  <c r="AG19" i="4"/>
  <c r="AG20" i="4"/>
  <c r="AG21" i="4"/>
  <c r="AG22" i="4"/>
  <c r="AG23" i="4"/>
  <c r="AG24" i="4"/>
  <c r="AG25" i="4"/>
  <c r="AG26" i="4"/>
  <c r="AG27" i="4"/>
  <c r="AG28" i="4"/>
  <c r="AG29" i="4"/>
  <c r="AG30" i="4"/>
  <c r="AG31" i="4"/>
  <c r="AG32" i="4"/>
  <c r="AG33" i="4"/>
  <c r="AG34" i="4"/>
  <c r="AG35" i="4"/>
  <c r="AG36" i="4"/>
  <c r="AG37" i="4"/>
  <c r="AG38" i="4"/>
  <c r="AG39" i="4"/>
  <c r="AG40" i="4"/>
  <c r="AG41" i="4"/>
  <c r="AG43" i="4"/>
  <c r="AG44" i="4"/>
  <c r="AG45" i="4"/>
  <c r="AG46" i="4"/>
  <c r="AG47" i="4"/>
  <c r="AG48" i="4"/>
  <c r="AG49" i="4"/>
  <c r="AG50" i="4"/>
  <c r="AG51" i="4"/>
  <c r="AG52" i="4"/>
  <c r="AG53" i="4"/>
  <c r="AG54" i="4"/>
  <c r="AG55" i="4"/>
  <c r="AG56" i="4"/>
  <c r="AG57" i="4"/>
  <c r="AG58" i="4"/>
  <c r="AG59" i="4"/>
  <c r="AG60" i="4"/>
  <c r="AG61" i="4"/>
  <c r="AG62" i="4"/>
  <c r="AG63" i="4"/>
  <c r="AG64" i="4"/>
  <c r="AG65" i="4"/>
  <c r="AG66" i="4"/>
  <c r="AG67" i="4"/>
  <c r="AG68" i="4"/>
  <c r="AG69" i="4"/>
  <c r="AG70" i="4"/>
  <c r="AG71" i="4"/>
  <c r="AG72" i="4"/>
  <c r="AG73" i="4"/>
  <c r="AG74" i="4"/>
  <c r="AG75" i="4"/>
  <c r="AG76" i="4"/>
  <c r="AG77" i="4"/>
  <c r="AG78" i="4"/>
  <c r="AG79" i="4"/>
  <c r="AG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6" i="4"/>
  <c r="AG107" i="4"/>
  <c r="AG108" i="4"/>
  <c r="AG109" i="4"/>
  <c r="AG110" i="4"/>
  <c r="AG111" i="4"/>
  <c r="AG112" i="4"/>
  <c r="AG113" i="4"/>
  <c r="AG114" i="4"/>
  <c r="AG115" i="4"/>
  <c r="AG116" i="4"/>
  <c r="AG117" i="4"/>
  <c r="AG118" i="4"/>
  <c r="AG119" i="4"/>
  <c r="AG120" i="4"/>
  <c r="AG121" i="4"/>
  <c r="AG122" i="4"/>
  <c r="AG123" i="4"/>
  <c r="AG124" i="4"/>
  <c r="AG125" i="4"/>
  <c r="AG126" i="4"/>
  <c r="AG127" i="4"/>
  <c r="AG128" i="4"/>
  <c r="AG129" i="4"/>
  <c r="AG130" i="4"/>
  <c r="AG131" i="4"/>
  <c r="AG132" i="4"/>
  <c r="AG133" i="4"/>
  <c r="AG134" i="4"/>
  <c r="AG135" i="4"/>
  <c r="AG136" i="4"/>
  <c r="AG137" i="4"/>
  <c r="AG138" i="4"/>
  <c r="AG139" i="4"/>
  <c r="AG140" i="4"/>
  <c r="AG141" i="4"/>
  <c r="AG142" i="4"/>
  <c r="AG143" i="4"/>
  <c r="AG144" i="4"/>
  <c r="AG145" i="4"/>
  <c r="AG146" i="4"/>
  <c r="AG147" i="4"/>
  <c r="AG148" i="4"/>
  <c r="AG42" i="4"/>
  <c r="AH95" i="4"/>
  <c r="AH96" i="4"/>
  <c r="AH97" i="4"/>
  <c r="AH98" i="4"/>
  <c r="AH99" i="4"/>
  <c r="AH100" i="4"/>
  <c r="AH101" i="4"/>
  <c r="AH102" i="4"/>
  <c r="AH103" i="4"/>
  <c r="AH104"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3" i="4"/>
  <c r="AH4" i="4"/>
  <c r="AH5" i="4"/>
  <c r="AH6" i="4"/>
  <c r="AH7" i="4"/>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Q12" i="78"/>
  <c r="O9"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3" i="4"/>
  <c r="N4" i="4"/>
  <c r="N5" i="4"/>
  <c r="N6" i="4"/>
  <c r="N7" i="4"/>
  <c r="N8" i="4"/>
  <c r="N9" i="4"/>
  <c r="N10" i="4"/>
  <c r="N11" i="4"/>
  <c r="N12" i="4"/>
  <c r="N13" i="4"/>
  <c r="N14" i="4"/>
  <c r="N15" i="4"/>
  <c r="N16" i="4"/>
  <c r="N17" i="4"/>
  <c r="N18" i="4"/>
  <c r="N19" i="4"/>
  <c r="N20" i="4"/>
  <c r="N21" i="4"/>
  <c r="E90" i="75"/>
  <c r="F90" i="75"/>
  <c r="E91" i="75"/>
  <c r="F91" i="75"/>
  <c r="E92" i="75"/>
  <c r="F92" i="75"/>
  <c r="F89" i="75"/>
  <c r="E89" i="75"/>
  <c r="D90" i="75"/>
  <c r="D91" i="75"/>
  <c r="D92" i="75"/>
  <c r="D93" i="75"/>
  <c r="D89" i="75"/>
  <c r="F4" i="75"/>
  <c r="F5" i="75"/>
  <c r="F6" i="75"/>
  <c r="F7" i="75"/>
  <c r="F8" i="75"/>
  <c r="F9" i="75"/>
  <c r="F10" i="75"/>
  <c r="F11" i="75"/>
  <c r="F12" i="75"/>
  <c r="F13" i="75"/>
  <c r="F14" i="75"/>
  <c r="F15" i="75"/>
  <c r="F16" i="75"/>
  <c r="F17" i="75"/>
  <c r="F18" i="75"/>
  <c r="F19" i="75"/>
  <c r="F3" i="75"/>
  <c r="E4" i="75"/>
  <c r="E5" i="75"/>
  <c r="E6" i="75"/>
  <c r="E7" i="75"/>
  <c r="E8" i="75"/>
  <c r="E9" i="75"/>
  <c r="E10" i="75"/>
  <c r="E11" i="75"/>
  <c r="E12" i="75"/>
  <c r="E13" i="75"/>
  <c r="E14" i="75"/>
  <c r="E15" i="75"/>
  <c r="E16" i="75"/>
  <c r="E17" i="75"/>
  <c r="E18" i="75"/>
  <c r="E19" i="75"/>
  <c r="E3" i="75"/>
  <c r="D3" i="75"/>
  <c r="O3" i="75" s="1"/>
  <c r="H3" i="75"/>
  <c r="K3" i="75"/>
  <c r="D4" i="75"/>
  <c r="D5" i="75"/>
  <c r="D6" i="75"/>
  <c r="D7" i="75"/>
  <c r="D8" i="75"/>
  <c r="D9" i="75"/>
  <c r="D10" i="75"/>
  <c r="D11" i="75"/>
  <c r="D12" i="75"/>
  <c r="D13" i="75"/>
  <c r="D14" i="75"/>
  <c r="D15" i="75"/>
  <c r="D16" i="75"/>
  <c r="D17" i="75"/>
  <c r="D18" i="75"/>
  <c r="D19" i="75"/>
  <c r="E95" i="75"/>
  <c r="E96" i="75"/>
  <c r="E97" i="75"/>
  <c r="E98" i="75"/>
  <c r="E99" i="75"/>
  <c r="E100" i="75"/>
  <c r="E101" i="75"/>
  <c r="E102" i="75"/>
  <c r="E103" i="75"/>
  <c r="E104" i="75"/>
  <c r="E105" i="75"/>
  <c r="E106" i="75"/>
  <c r="E107" i="75"/>
  <c r="E108" i="75"/>
  <c r="E109" i="75"/>
  <c r="E110" i="75"/>
  <c r="E111" i="75"/>
  <c r="E94" i="75"/>
  <c r="AD148" i="4"/>
  <c r="AD4" i="4"/>
  <c r="AD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6" i="4"/>
  <c r="AD107" i="4"/>
  <c r="AD108" i="4"/>
  <c r="AD109" i="4"/>
  <c r="AD110" i="4"/>
  <c r="AD111" i="4"/>
  <c r="AD117" i="4"/>
  <c r="AD119"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3" i="4"/>
  <c r="AC148" i="4"/>
  <c r="AC4" i="4"/>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70" i="4"/>
  <c r="AC71" i="4"/>
  <c r="AC72" i="4"/>
  <c r="AC73" i="4"/>
  <c r="AC74" i="4"/>
  <c r="AC75" i="4"/>
  <c r="AC76" i="4"/>
  <c r="AC77" i="4"/>
  <c r="AC78" i="4"/>
  <c r="AC79"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6" i="4"/>
  <c r="AC107" i="4"/>
  <c r="AC108" i="4"/>
  <c r="AC109" i="4"/>
  <c r="AC110" i="4"/>
  <c r="AC111" i="4"/>
  <c r="AC117" i="4"/>
  <c r="AC119" i="4"/>
  <c r="AC122" i="4"/>
  <c r="AC123" i="4"/>
  <c r="AC124" i="4"/>
  <c r="AC125" i="4"/>
  <c r="AC126" i="4"/>
  <c r="AC127" i="4"/>
  <c r="AC128" i="4"/>
  <c r="AC129" i="4"/>
  <c r="AC130" i="4"/>
  <c r="AC131" i="4"/>
  <c r="AC132" i="4"/>
  <c r="AC133" i="4"/>
  <c r="AC134" i="4"/>
  <c r="AC135" i="4"/>
  <c r="AC136" i="4"/>
  <c r="AC137" i="4"/>
  <c r="AC138" i="4"/>
  <c r="AC139" i="4"/>
  <c r="AC140" i="4"/>
  <c r="AC141" i="4"/>
  <c r="AC142" i="4"/>
  <c r="AC143" i="4"/>
  <c r="AC144" i="4"/>
  <c r="AC145" i="4"/>
  <c r="AC146" i="4"/>
  <c r="AC147" i="4"/>
  <c r="AC3" i="4"/>
  <c r="W4" i="4"/>
  <c r="AB4" i="4" s="1"/>
  <c r="X4" i="4"/>
  <c r="Y4" i="4"/>
  <c r="Z4" i="4"/>
  <c r="AA4" i="4"/>
  <c r="W5" i="4"/>
  <c r="AB5" i="4" s="1"/>
  <c r="X5" i="4"/>
  <c r="Y5" i="4"/>
  <c r="Z5" i="4"/>
  <c r="AA5" i="4"/>
  <c r="W6" i="4"/>
  <c r="AB6" i="4" s="1"/>
  <c r="X6" i="4"/>
  <c r="Y6" i="4"/>
  <c r="Z6" i="4"/>
  <c r="AA6" i="4"/>
  <c r="W7" i="4"/>
  <c r="X7" i="4"/>
  <c r="Y7" i="4"/>
  <c r="Z7" i="4"/>
  <c r="AA7" i="4"/>
  <c r="W8" i="4"/>
  <c r="X8" i="4"/>
  <c r="Y8" i="4"/>
  <c r="Z8" i="4"/>
  <c r="AA8" i="4"/>
  <c r="W9" i="4"/>
  <c r="X9" i="4"/>
  <c r="Y9" i="4"/>
  <c r="Z9" i="4"/>
  <c r="AA9" i="4"/>
  <c r="W10" i="4"/>
  <c r="AB10" i="4" s="1"/>
  <c r="X10" i="4"/>
  <c r="Y10" i="4"/>
  <c r="Z10" i="4"/>
  <c r="AA10" i="4"/>
  <c r="W11" i="4"/>
  <c r="X11" i="4"/>
  <c r="Y11" i="4"/>
  <c r="Z11" i="4"/>
  <c r="AA11" i="4"/>
  <c r="W12" i="4"/>
  <c r="AB12" i="4" s="1"/>
  <c r="X12" i="4"/>
  <c r="Y12" i="4"/>
  <c r="Z12" i="4"/>
  <c r="AA12" i="4"/>
  <c r="W13" i="4"/>
  <c r="AB13" i="4" s="1"/>
  <c r="X13" i="4"/>
  <c r="Y13" i="4"/>
  <c r="Z13" i="4"/>
  <c r="AA13" i="4"/>
  <c r="W14" i="4"/>
  <c r="AB14" i="4" s="1"/>
  <c r="X14" i="4"/>
  <c r="Y14" i="4"/>
  <c r="Z14" i="4"/>
  <c r="AA14" i="4"/>
  <c r="W15" i="4"/>
  <c r="X15" i="4"/>
  <c r="Y15" i="4"/>
  <c r="Z15" i="4"/>
  <c r="AA15" i="4"/>
  <c r="W16" i="4"/>
  <c r="X16" i="4"/>
  <c r="Y16" i="4"/>
  <c r="Z16" i="4"/>
  <c r="AA16" i="4"/>
  <c r="W17" i="4"/>
  <c r="X17" i="4"/>
  <c r="Y17" i="4"/>
  <c r="Z17" i="4"/>
  <c r="AA17" i="4"/>
  <c r="W18" i="4"/>
  <c r="AB18" i="4" s="1"/>
  <c r="X18" i="4"/>
  <c r="Y18" i="4"/>
  <c r="Z18" i="4"/>
  <c r="AA18" i="4"/>
  <c r="W19" i="4"/>
  <c r="X19" i="4"/>
  <c r="Y19" i="4"/>
  <c r="Z19" i="4"/>
  <c r="AA19" i="4"/>
  <c r="W20" i="4"/>
  <c r="AB20" i="4" s="1"/>
  <c r="X20" i="4"/>
  <c r="Y20" i="4"/>
  <c r="Z20" i="4"/>
  <c r="AA20" i="4"/>
  <c r="W21" i="4"/>
  <c r="AB21" i="4" s="1"/>
  <c r="X21" i="4"/>
  <c r="Y21" i="4"/>
  <c r="Z21" i="4"/>
  <c r="AA21" i="4"/>
  <c r="W22" i="4"/>
  <c r="X22" i="4"/>
  <c r="Y22" i="4"/>
  <c r="Z22" i="4"/>
  <c r="AA22" i="4"/>
  <c r="W23" i="4"/>
  <c r="X23" i="4"/>
  <c r="Y23" i="4"/>
  <c r="Z23" i="4"/>
  <c r="AA23" i="4"/>
  <c r="W24" i="4"/>
  <c r="X24" i="4"/>
  <c r="Y24" i="4"/>
  <c r="Z24" i="4"/>
  <c r="AA24" i="4"/>
  <c r="W25" i="4"/>
  <c r="X25" i="4"/>
  <c r="Y25" i="4"/>
  <c r="Z25" i="4"/>
  <c r="AA25" i="4"/>
  <c r="W26" i="4"/>
  <c r="X26" i="4"/>
  <c r="Y26" i="4"/>
  <c r="Z26" i="4"/>
  <c r="AA26" i="4"/>
  <c r="W27" i="4"/>
  <c r="X27" i="4"/>
  <c r="Y27" i="4"/>
  <c r="Z27" i="4"/>
  <c r="AA27" i="4"/>
  <c r="W28" i="4"/>
  <c r="AB28" i="4" s="1"/>
  <c r="X28" i="4"/>
  <c r="Y28" i="4"/>
  <c r="Z28" i="4"/>
  <c r="AA28" i="4"/>
  <c r="W29" i="4"/>
  <c r="AB29" i="4" s="1"/>
  <c r="X29" i="4"/>
  <c r="Y29" i="4"/>
  <c r="Z29" i="4"/>
  <c r="AA29" i="4"/>
  <c r="W30" i="4"/>
  <c r="X30" i="4"/>
  <c r="Y30" i="4"/>
  <c r="Z30" i="4"/>
  <c r="AA30" i="4"/>
  <c r="W31" i="4"/>
  <c r="X31" i="4"/>
  <c r="Y31" i="4"/>
  <c r="Z31" i="4"/>
  <c r="AA31" i="4"/>
  <c r="W32" i="4"/>
  <c r="X32" i="4"/>
  <c r="Y32" i="4"/>
  <c r="Z32" i="4"/>
  <c r="AA32" i="4"/>
  <c r="W33" i="4"/>
  <c r="X33" i="4"/>
  <c r="Y33" i="4"/>
  <c r="Z33" i="4"/>
  <c r="AA33" i="4"/>
  <c r="W34" i="4"/>
  <c r="X34" i="4"/>
  <c r="Y34" i="4"/>
  <c r="Z34" i="4"/>
  <c r="AA34" i="4"/>
  <c r="W35" i="4"/>
  <c r="X35" i="4"/>
  <c r="Y35" i="4"/>
  <c r="Z35" i="4"/>
  <c r="AA35" i="4"/>
  <c r="W36" i="4"/>
  <c r="AB36" i="4" s="1"/>
  <c r="X36" i="4"/>
  <c r="Y36" i="4"/>
  <c r="Z36" i="4"/>
  <c r="AA36" i="4"/>
  <c r="W37" i="4"/>
  <c r="X37" i="4"/>
  <c r="Y37" i="4"/>
  <c r="Z37" i="4"/>
  <c r="AA37" i="4"/>
  <c r="W38" i="4"/>
  <c r="X38" i="4"/>
  <c r="Y38" i="4"/>
  <c r="Z38" i="4"/>
  <c r="AA38" i="4"/>
  <c r="W39" i="4"/>
  <c r="AB39" i="4" s="1"/>
  <c r="X39" i="4"/>
  <c r="Y39" i="4"/>
  <c r="Z39" i="4"/>
  <c r="AA39" i="4"/>
  <c r="W40" i="4"/>
  <c r="X40" i="4"/>
  <c r="Y40" i="4"/>
  <c r="Z40" i="4"/>
  <c r="AA40" i="4" s="1"/>
  <c r="AB40" i="4" s="1"/>
  <c r="W41" i="4"/>
  <c r="X41" i="4"/>
  <c r="Y41" i="4"/>
  <c r="Z41" i="4"/>
  <c r="AA41" i="4"/>
  <c r="AB41" i="4"/>
  <c r="W42" i="4"/>
  <c r="X42" i="4"/>
  <c r="Y42" i="4"/>
  <c r="Z42" i="4"/>
  <c r="AA42" i="4"/>
  <c r="W43" i="4"/>
  <c r="X43" i="4"/>
  <c r="Y43" i="4"/>
  <c r="Z43" i="4"/>
  <c r="AA43" i="4"/>
  <c r="W44" i="4"/>
  <c r="X44" i="4"/>
  <c r="Y44" i="4"/>
  <c r="Z44" i="4"/>
  <c r="AA44" i="4" s="1"/>
  <c r="AB44" i="4"/>
  <c r="W45" i="4"/>
  <c r="AB45" i="4" s="1"/>
  <c r="X45" i="4"/>
  <c r="Y45" i="4"/>
  <c r="Z45" i="4"/>
  <c r="AA45" i="4"/>
  <c r="W46" i="4"/>
  <c r="X46" i="4"/>
  <c r="Y46" i="4"/>
  <c r="Z46" i="4"/>
  <c r="AA46" i="4"/>
  <c r="W47" i="4"/>
  <c r="X47" i="4"/>
  <c r="Y47" i="4"/>
  <c r="Z47" i="4"/>
  <c r="AA47" i="4"/>
  <c r="W48" i="4"/>
  <c r="AB48" i="4" s="1"/>
  <c r="X48" i="4"/>
  <c r="Y48" i="4"/>
  <c r="Z48" i="4"/>
  <c r="AA48" i="4" s="1"/>
  <c r="W49" i="4"/>
  <c r="X49" i="4"/>
  <c r="Y49" i="4"/>
  <c r="Z49" i="4"/>
  <c r="AA49" i="4"/>
  <c r="AB49" i="4"/>
  <c r="W50" i="4"/>
  <c r="AB50" i="4" s="1"/>
  <c r="X50" i="4"/>
  <c r="Y50" i="4"/>
  <c r="Z50" i="4"/>
  <c r="AA50" i="4"/>
  <c r="W51" i="4"/>
  <c r="X51" i="4"/>
  <c r="Y51" i="4"/>
  <c r="Z51" i="4"/>
  <c r="AA51" i="4" s="1"/>
  <c r="W52" i="4"/>
  <c r="X52" i="4"/>
  <c r="Y52" i="4"/>
  <c r="Z52" i="4"/>
  <c r="AA52" i="4" s="1"/>
  <c r="AB52" i="4" s="1"/>
  <c r="W53" i="4"/>
  <c r="X53" i="4"/>
  <c r="Y53" i="4"/>
  <c r="Z53" i="4"/>
  <c r="AA53" i="4"/>
  <c r="AB53" i="4"/>
  <c r="W54" i="4"/>
  <c r="X54" i="4"/>
  <c r="Y54" i="4"/>
  <c r="Z54" i="4"/>
  <c r="AA54" i="4"/>
  <c r="W55" i="4"/>
  <c r="AB55" i="4" s="1"/>
  <c r="X55" i="4"/>
  <c r="Y55" i="4"/>
  <c r="Z55" i="4"/>
  <c r="AA55" i="4"/>
  <c r="W56" i="4"/>
  <c r="X56" i="4"/>
  <c r="Y56" i="4"/>
  <c r="Z56" i="4"/>
  <c r="AA56" i="4" s="1"/>
  <c r="AB56" i="4" s="1"/>
  <c r="W57" i="4"/>
  <c r="X57" i="4"/>
  <c r="Y57" i="4"/>
  <c r="Z57" i="4"/>
  <c r="AA57" i="4"/>
  <c r="AB57" i="4"/>
  <c r="W58" i="4"/>
  <c r="X58" i="4"/>
  <c r="Y58" i="4"/>
  <c r="Z58" i="4"/>
  <c r="AA58" i="4"/>
  <c r="W59" i="4"/>
  <c r="X59" i="4"/>
  <c r="Y59" i="4"/>
  <c r="Z59" i="4"/>
  <c r="AA59" i="4"/>
  <c r="W60" i="4"/>
  <c r="X60" i="4"/>
  <c r="Y60" i="4"/>
  <c r="Z60" i="4"/>
  <c r="AA60" i="4"/>
  <c r="AB60" i="4"/>
  <c r="W61" i="4"/>
  <c r="AB61" i="4" s="1"/>
  <c r="X61" i="4"/>
  <c r="Y61" i="4"/>
  <c r="Z61" i="4"/>
  <c r="AA61" i="4"/>
  <c r="W62" i="4"/>
  <c r="X62" i="4"/>
  <c r="Y62" i="4"/>
  <c r="Z62" i="4"/>
  <c r="AA62" i="4"/>
  <c r="W63" i="4"/>
  <c r="X63" i="4"/>
  <c r="Y63" i="4"/>
  <c r="Z63" i="4"/>
  <c r="AA63" i="4"/>
  <c r="W64" i="4"/>
  <c r="AB64" i="4" s="1"/>
  <c r="X64" i="4"/>
  <c r="Y64" i="4"/>
  <c r="Z64" i="4"/>
  <c r="AA64" i="4" s="1"/>
  <c r="W65" i="4"/>
  <c r="X65" i="4"/>
  <c r="Y65" i="4"/>
  <c r="Z65" i="4"/>
  <c r="AA65" i="4"/>
  <c r="AB65" i="4"/>
  <c r="W66" i="4"/>
  <c r="AB66" i="4" s="1"/>
  <c r="X66" i="4"/>
  <c r="Y66" i="4"/>
  <c r="Z66" i="4"/>
  <c r="AA66" i="4"/>
  <c r="W67" i="4"/>
  <c r="X67" i="4"/>
  <c r="Y67" i="4"/>
  <c r="Z67" i="4"/>
  <c r="AA67" i="4" s="1"/>
  <c r="W68" i="4"/>
  <c r="X68" i="4"/>
  <c r="Y68" i="4"/>
  <c r="Z68" i="4"/>
  <c r="AA68" i="4" s="1"/>
  <c r="AB68" i="4" s="1"/>
  <c r="W69" i="4"/>
  <c r="X69" i="4"/>
  <c r="Y69" i="4"/>
  <c r="Z69" i="4"/>
  <c r="AA69" i="4"/>
  <c r="AB69" i="4"/>
  <c r="W70" i="4"/>
  <c r="X70" i="4"/>
  <c r="Y70" i="4"/>
  <c r="Z70" i="4"/>
  <c r="AA70" i="4"/>
  <c r="W71" i="4"/>
  <c r="AB71" i="4" s="1"/>
  <c r="X71" i="4"/>
  <c r="Y71" i="4"/>
  <c r="Z71" i="4"/>
  <c r="AA71" i="4"/>
  <c r="W72" i="4"/>
  <c r="X72" i="4"/>
  <c r="Y72" i="4"/>
  <c r="Z72" i="4"/>
  <c r="AA72" i="4" s="1"/>
  <c r="AB72" i="4" s="1"/>
  <c r="W73" i="4"/>
  <c r="X73" i="4"/>
  <c r="Y73" i="4"/>
  <c r="Z73" i="4"/>
  <c r="AA73" i="4"/>
  <c r="AB73" i="4"/>
  <c r="W74" i="4"/>
  <c r="X74" i="4"/>
  <c r="Y74" i="4"/>
  <c r="Z74" i="4"/>
  <c r="AA74" i="4"/>
  <c r="W75" i="4"/>
  <c r="X75" i="4"/>
  <c r="Y75" i="4"/>
  <c r="Z75" i="4"/>
  <c r="AA75" i="4"/>
  <c r="W76" i="4"/>
  <c r="X76" i="4"/>
  <c r="Y76" i="4"/>
  <c r="Z76" i="4"/>
  <c r="AA76" i="4"/>
  <c r="AB76" i="4"/>
  <c r="W77" i="4"/>
  <c r="AB77" i="4" s="1"/>
  <c r="X77" i="4"/>
  <c r="Y77" i="4"/>
  <c r="Z77" i="4"/>
  <c r="AA77" i="4"/>
  <c r="W78" i="4"/>
  <c r="X78" i="4"/>
  <c r="Y78" i="4"/>
  <c r="Z78" i="4"/>
  <c r="AA78" i="4" s="1"/>
  <c r="W79" i="4"/>
  <c r="AB79" i="4" s="1"/>
  <c r="X79" i="4"/>
  <c r="Y79" i="4"/>
  <c r="Z79" i="4"/>
  <c r="AA79" i="4"/>
  <c r="W80" i="4"/>
  <c r="X80" i="4"/>
  <c r="Y80" i="4"/>
  <c r="Z80" i="4"/>
  <c r="AA80" i="4" s="1"/>
  <c r="W81" i="4"/>
  <c r="AB81" i="4" s="1"/>
  <c r="X81" i="4"/>
  <c r="Y81" i="4"/>
  <c r="Z81" i="4"/>
  <c r="AA81" i="4"/>
  <c r="W82" i="4"/>
  <c r="X82" i="4"/>
  <c r="Y82" i="4"/>
  <c r="Z82" i="4"/>
  <c r="AA82" i="4"/>
  <c r="W83" i="4"/>
  <c r="X83" i="4"/>
  <c r="Y83" i="4"/>
  <c r="Z83" i="4"/>
  <c r="AA83" i="4"/>
  <c r="AB83" i="4"/>
  <c r="W84" i="4"/>
  <c r="AB84" i="4" s="1"/>
  <c r="X84" i="4"/>
  <c r="Y84" i="4"/>
  <c r="Z84" i="4"/>
  <c r="AA84" i="4" s="1"/>
  <c r="W85" i="4"/>
  <c r="X85" i="4"/>
  <c r="AB85" i="4" s="1"/>
  <c r="Y85" i="4"/>
  <c r="Z85" i="4"/>
  <c r="AA85" i="4"/>
  <c r="W86" i="4"/>
  <c r="X86" i="4"/>
  <c r="Y86" i="4"/>
  <c r="Z86" i="4"/>
  <c r="AA86" i="4" s="1"/>
  <c r="W87" i="4"/>
  <c r="AB87" i="4" s="1"/>
  <c r="X87" i="4"/>
  <c r="Y87" i="4"/>
  <c r="Z87" i="4"/>
  <c r="AA87" i="4" s="1"/>
  <c r="W88" i="4"/>
  <c r="AB88" i="4" s="1"/>
  <c r="X88" i="4"/>
  <c r="Y88" i="4"/>
  <c r="Z88" i="4"/>
  <c r="AA88" i="4"/>
  <c r="W89" i="4"/>
  <c r="X89" i="4"/>
  <c r="Y89" i="4"/>
  <c r="AB89" i="4" s="1"/>
  <c r="Z89" i="4"/>
  <c r="AA89" i="4"/>
  <c r="W90" i="4"/>
  <c r="X90" i="4"/>
  <c r="Y90" i="4"/>
  <c r="Z90" i="4"/>
  <c r="AA90" i="4"/>
  <c r="W91" i="4"/>
  <c r="AB91" i="4" s="1"/>
  <c r="X91" i="4"/>
  <c r="Y91" i="4"/>
  <c r="Z91" i="4"/>
  <c r="AA91" i="4" s="1"/>
  <c r="W92" i="4"/>
  <c r="AB92" i="4" s="1"/>
  <c r="X92" i="4"/>
  <c r="Y92" i="4"/>
  <c r="Z92" i="4"/>
  <c r="AA92" i="4"/>
  <c r="W93" i="4"/>
  <c r="X93" i="4"/>
  <c r="Y93" i="4"/>
  <c r="AB93" i="4" s="1"/>
  <c r="Z93" i="4"/>
  <c r="AA93" i="4"/>
  <c r="W94" i="4"/>
  <c r="X94" i="4"/>
  <c r="Y94" i="4"/>
  <c r="Z94" i="4"/>
  <c r="AA94" i="4"/>
  <c r="W95" i="4"/>
  <c r="AB95" i="4" s="1"/>
  <c r="X95" i="4"/>
  <c r="Y95" i="4"/>
  <c r="Z95" i="4"/>
  <c r="AA95" i="4" s="1"/>
  <c r="W96" i="4"/>
  <c r="AB96" i="4" s="1"/>
  <c r="X96" i="4"/>
  <c r="Y96" i="4"/>
  <c r="Z96" i="4"/>
  <c r="AA96" i="4"/>
  <c r="W97" i="4"/>
  <c r="X97" i="4"/>
  <c r="Y97" i="4"/>
  <c r="AB97" i="4" s="1"/>
  <c r="Z97" i="4"/>
  <c r="AA97" i="4"/>
  <c r="W98" i="4"/>
  <c r="X98" i="4"/>
  <c r="Y98" i="4"/>
  <c r="Z98" i="4"/>
  <c r="AA98" i="4"/>
  <c r="W99" i="4"/>
  <c r="X99" i="4"/>
  <c r="Y99" i="4"/>
  <c r="Z99" i="4"/>
  <c r="AA99" i="4" s="1"/>
  <c r="W100" i="4"/>
  <c r="AB100" i="4" s="1"/>
  <c r="X100" i="4"/>
  <c r="Y100" i="4"/>
  <c r="Z100" i="4"/>
  <c r="AA100" i="4"/>
  <c r="W101" i="4"/>
  <c r="X101" i="4"/>
  <c r="Y101" i="4"/>
  <c r="AB101" i="4" s="1"/>
  <c r="Z101" i="4"/>
  <c r="AA101" i="4"/>
  <c r="W102" i="4"/>
  <c r="X102" i="4"/>
  <c r="Y102" i="4"/>
  <c r="Z102" i="4"/>
  <c r="AA102" i="4"/>
  <c r="W103" i="4"/>
  <c r="X103" i="4"/>
  <c r="Y103" i="4"/>
  <c r="Z103" i="4"/>
  <c r="AA103" i="4" s="1"/>
  <c r="W104" i="4"/>
  <c r="AB104" i="4" s="1"/>
  <c r="X104" i="4"/>
  <c r="Y104" i="4"/>
  <c r="Z104" i="4"/>
  <c r="AA104" i="4"/>
  <c r="W106" i="4"/>
  <c r="X106" i="4"/>
  <c r="Y106" i="4"/>
  <c r="AB106" i="4" s="1"/>
  <c r="Z106" i="4"/>
  <c r="AA106" i="4"/>
  <c r="W107" i="4"/>
  <c r="AB107" i="4" s="1"/>
  <c r="X107" i="4"/>
  <c r="Y107" i="4"/>
  <c r="Z107" i="4"/>
  <c r="AA107" i="4"/>
  <c r="W108" i="4"/>
  <c r="X108" i="4"/>
  <c r="Y108" i="4"/>
  <c r="Z108" i="4"/>
  <c r="AA108" i="4" s="1"/>
  <c r="W109" i="4"/>
  <c r="AB109" i="4" s="1"/>
  <c r="X109" i="4"/>
  <c r="Y109" i="4"/>
  <c r="Z109" i="4"/>
  <c r="AA109" i="4"/>
  <c r="W110" i="4"/>
  <c r="X110" i="4"/>
  <c r="Y110" i="4"/>
  <c r="AB110" i="4" s="1"/>
  <c r="Z110" i="4"/>
  <c r="AA110" i="4"/>
  <c r="W111" i="4"/>
  <c r="AB111" i="4" s="1"/>
  <c r="X111" i="4"/>
  <c r="Y111" i="4"/>
  <c r="Z111" i="4"/>
  <c r="AA111" i="4"/>
  <c r="W112" i="4"/>
  <c r="X112" i="4"/>
  <c r="Y112" i="4"/>
  <c r="Z112" i="4"/>
  <c r="AA112" i="4" s="1"/>
  <c r="W113" i="4"/>
  <c r="AB113" i="4" s="1"/>
  <c r="X113" i="4"/>
  <c r="Y113" i="4"/>
  <c r="Z113" i="4"/>
  <c r="AA113" i="4"/>
  <c r="W114" i="4"/>
  <c r="X114" i="4"/>
  <c r="Y114" i="4"/>
  <c r="AB114" i="4" s="1"/>
  <c r="Z114" i="4"/>
  <c r="AA114" i="4"/>
  <c r="W115" i="4"/>
  <c r="AB115" i="4" s="1"/>
  <c r="X115" i="4"/>
  <c r="Y115" i="4"/>
  <c r="Z115" i="4"/>
  <c r="AA115" i="4"/>
  <c r="W116" i="4"/>
  <c r="AB116" i="4" s="1"/>
  <c r="X116" i="4"/>
  <c r="Y116" i="4"/>
  <c r="Z116" i="4"/>
  <c r="AA116" i="4" s="1"/>
  <c r="W117" i="4"/>
  <c r="AB117" i="4" s="1"/>
  <c r="X117" i="4"/>
  <c r="Y117" i="4"/>
  <c r="Z117" i="4"/>
  <c r="AA117" i="4"/>
  <c r="W118" i="4"/>
  <c r="X118" i="4"/>
  <c r="Y118" i="4"/>
  <c r="AB118" i="4" s="1"/>
  <c r="Z118" i="4"/>
  <c r="AA118" i="4"/>
  <c r="W119" i="4"/>
  <c r="X119" i="4"/>
  <c r="Y119" i="4"/>
  <c r="Z119" i="4"/>
  <c r="AA119" i="4"/>
  <c r="W120" i="4"/>
  <c r="AB120" i="4" s="1"/>
  <c r="X120" i="4"/>
  <c r="Y120" i="4"/>
  <c r="Z120" i="4"/>
  <c r="AA120" i="4" s="1"/>
  <c r="W121" i="4"/>
  <c r="AB121" i="4" s="1"/>
  <c r="X121" i="4"/>
  <c r="Y121" i="4"/>
  <c r="Z121" i="4"/>
  <c r="AA121" i="4"/>
  <c r="W122" i="4"/>
  <c r="X122" i="4"/>
  <c r="Y122" i="4"/>
  <c r="AB122" i="4" s="1"/>
  <c r="Z122" i="4"/>
  <c r="AA122" i="4"/>
  <c r="W123" i="4"/>
  <c r="X123" i="4"/>
  <c r="Y123" i="4"/>
  <c r="Z123" i="4"/>
  <c r="AA123" i="4"/>
  <c r="W124" i="4"/>
  <c r="AB124" i="4" s="1"/>
  <c r="X124" i="4"/>
  <c r="Y124" i="4"/>
  <c r="Z124" i="4"/>
  <c r="AA124" i="4" s="1"/>
  <c r="W125" i="4"/>
  <c r="AB125" i="4" s="1"/>
  <c r="X125" i="4"/>
  <c r="Y125" i="4"/>
  <c r="Z125" i="4"/>
  <c r="AA125" i="4"/>
  <c r="W126" i="4"/>
  <c r="X126" i="4"/>
  <c r="Y126" i="4"/>
  <c r="AB126" i="4" s="1"/>
  <c r="Z126" i="4"/>
  <c r="AA126" i="4"/>
  <c r="W127" i="4"/>
  <c r="X127" i="4"/>
  <c r="Y127" i="4"/>
  <c r="Z127" i="4"/>
  <c r="AA127" i="4"/>
  <c r="W128" i="4"/>
  <c r="AB128" i="4" s="1"/>
  <c r="X128" i="4"/>
  <c r="Y128" i="4"/>
  <c r="Z128" i="4"/>
  <c r="AA128" i="4" s="1"/>
  <c r="W129" i="4"/>
  <c r="AB129" i="4" s="1"/>
  <c r="X129" i="4"/>
  <c r="Y129" i="4"/>
  <c r="Z129" i="4"/>
  <c r="AA129" i="4"/>
  <c r="W130" i="4"/>
  <c r="X130" i="4"/>
  <c r="Y130" i="4"/>
  <c r="AB130" i="4" s="1"/>
  <c r="Z130" i="4"/>
  <c r="AA130" i="4"/>
  <c r="W131" i="4"/>
  <c r="X131" i="4"/>
  <c r="Y131" i="4"/>
  <c r="Z131" i="4"/>
  <c r="AA131" i="4"/>
  <c r="W132" i="4"/>
  <c r="X132" i="4"/>
  <c r="Y132" i="4"/>
  <c r="Z132" i="4"/>
  <c r="AA132" i="4" s="1"/>
  <c r="W133" i="4"/>
  <c r="AB133" i="4" s="1"/>
  <c r="X133" i="4"/>
  <c r="Y133" i="4"/>
  <c r="Z133" i="4"/>
  <c r="AA133" i="4"/>
  <c r="W134" i="4"/>
  <c r="X134" i="4"/>
  <c r="Y134" i="4"/>
  <c r="AB134" i="4" s="1"/>
  <c r="Z134" i="4"/>
  <c r="AA134" i="4"/>
  <c r="W135" i="4"/>
  <c r="X135" i="4"/>
  <c r="Y135" i="4"/>
  <c r="Z135" i="4"/>
  <c r="AA135" i="4"/>
  <c r="W136" i="4"/>
  <c r="X136" i="4"/>
  <c r="Y136" i="4"/>
  <c r="Z136" i="4"/>
  <c r="AA136" i="4" s="1"/>
  <c r="W137" i="4"/>
  <c r="AB137" i="4" s="1"/>
  <c r="X137" i="4"/>
  <c r="Y137" i="4"/>
  <c r="Z137" i="4"/>
  <c r="AA137" i="4"/>
  <c r="W138" i="4"/>
  <c r="X138" i="4"/>
  <c r="Y138" i="4"/>
  <c r="AB138" i="4" s="1"/>
  <c r="Z138" i="4"/>
  <c r="AA138" i="4"/>
  <c r="W139" i="4"/>
  <c r="AB139" i="4" s="1"/>
  <c r="X139" i="4"/>
  <c r="Y139" i="4"/>
  <c r="Z139" i="4"/>
  <c r="AA139" i="4"/>
  <c r="W140" i="4"/>
  <c r="X140" i="4"/>
  <c r="Y140" i="4"/>
  <c r="Z140" i="4"/>
  <c r="AA140" i="4" s="1"/>
  <c r="W141" i="4"/>
  <c r="X141" i="4"/>
  <c r="Y141" i="4"/>
  <c r="Z141" i="4"/>
  <c r="AA141" i="4"/>
  <c r="W142" i="4"/>
  <c r="X142" i="4"/>
  <c r="Y142" i="4"/>
  <c r="AB142" i="4" s="1"/>
  <c r="Z142" i="4"/>
  <c r="AA142" i="4"/>
  <c r="W143" i="4"/>
  <c r="AB143" i="4" s="1"/>
  <c r="X143" i="4"/>
  <c r="Y143" i="4"/>
  <c r="Z143" i="4"/>
  <c r="AA143" i="4"/>
  <c r="W144" i="4"/>
  <c r="X144" i="4"/>
  <c r="Y144" i="4"/>
  <c r="Z144" i="4"/>
  <c r="AA144" i="4" s="1"/>
  <c r="W145" i="4"/>
  <c r="X145" i="4"/>
  <c r="Y145" i="4"/>
  <c r="Z145" i="4"/>
  <c r="AA145" i="4"/>
  <c r="W146" i="4"/>
  <c r="X146" i="4"/>
  <c r="Y146" i="4"/>
  <c r="AB146" i="4" s="1"/>
  <c r="Z146" i="4"/>
  <c r="AA146" i="4"/>
  <c r="W147" i="4"/>
  <c r="AB147" i="4" s="1"/>
  <c r="X147" i="4"/>
  <c r="Y147" i="4"/>
  <c r="Z147" i="4"/>
  <c r="AA147" i="4"/>
  <c r="W148" i="4"/>
  <c r="AB148" i="4" s="1"/>
  <c r="X148" i="4"/>
  <c r="Y148" i="4"/>
  <c r="Z148" i="4"/>
  <c r="AA148" i="4" s="1"/>
  <c r="W3" i="4"/>
  <c r="X3" i="4"/>
  <c r="Y3" i="4"/>
  <c r="Z3" i="4"/>
  <c r="AA3" i="4"/>
  <c r="T4" i="4"/>
  <c r="T5"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3" i="4"/>
  <c r="Q4" i="4"/>
  <c r="R4" i="4" s="1"/>
  <c r="Q5" i="4"/>
  <c r="Q6" i="4"/>
  <c r="Q7" i="4"/>
  <c r="Q8" i="4"/>
  <c r="Q9" i="4"/>
  <c r="Q10" i="4"/>
  <c r="Q11" i="4"/>
  <c r="Q12" i="4"/>
  <c r="Q13" i="4"/>
  <c r="Q14" i="4"/>
  <c r="Q15" i="4"/>
  <c r="Q16" i="4"/>
  <c r="Q17" i="4"/>
  <c r="Q18" i="4"/>
  <c r="Q19" i="4"/>
  <c r="Q20" i="4"/>
  <c r="R20" i="4" s="1"/>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3" i="4"/>
  <c r="K3" i="4"/>
  <c r="L3" i="4"/>
  <c r="AB4" i="3"/>
  <c r="AC4" i="3"/>
  <c r="AD4" i="3" s="1"/>
  <c r="AB5" i="3"/>
  <c r="AC5" i="3"/>
  <c r="AB6" i="3"/>
  <c r="AC6" i="3" s="1"/>
  <c r="AD6" i="3" s="1"/>
  <c r="AB7" i="3"/>
  <c r="AC7" i="3" s="1"/>
  <c r="AB8" i="3"/>
  <c r="AC8" i="3" s="1"/>
  <c r="AD8" i="3" s="1"/>
  <c r="AB9" i="3"/>
  <c r="AC9" i="3"/>
  <c r="AB10" i="3"/>
  <c r="AC10" i="3" s="1"/>
  <c r="AB11" i="3"/>
  <c r="AC11" i="3" s="1"/>
  <c r="AB12" i="3"/>
  <c r="AC12" i="3" s="1"/>
  <c r="AB13" i="3"/>
  <c r="AC13" i="3"/>
  <c r="AB14" i="3"/>
  <c r="AC14" i="3" s="1"/>
  <c r="AB15" i="3"/>
  <c r="AC15" i="3" s="1"/>
  <c r="AD15" i="3" s="1"/>
  <c r="AB16" i="3"/>
  <c r="AC16" i="3"/>
  <c r="AB17" i="3"/>
  <c r="AC17" i="3"/>
  <c r="AB18" i="3"/>
  <c r="AC18" i="3" s="1"/>
  <c r="AB19" i="3"/>
  <c r="AC19" i="3" s="1"/>
  <c r="AB20" i="3"/>
  <c r="AC20" i="3"/>
  <c r="AB21" i="3"/>
  <c r="AC21" i="3"/>
  <c r="AB22" i="3"/>
  <c r="AC22" i="3" s="1"/>
  <c r="AD22" i="3" s="1"/>
  <c r="AB23" i="3"/>
  <c r="AC23" i="3" s="1"/>
  <c r="AB24" i="3"/>
  <c r="AC24" i="3" s="1"/>
  <c r="AB25" i="3"/>
  <c r="AC25" i="3"/>
  <c r="AB26" i="3"/>
  <c r="AC26" i="3" s="1"/>
  <c r="AB27" i="3"/>
  <c r="AC27" i="3" s="1"/>
  <c r="AB28" i="3"/>
  <c r="AC28" i="3" s="1"/>
  <c r="AB29" i="3"/>
  <c r="AC29" i="3" s="1"/>
  <c r="AB30" i="3"/>
  <c r="AC30" i="3" s="1"/>
  <c r="AB31" i="3"/>
  <c r="AC31" i="3" s="1"/>
  <c r="AB32" i="3"/>
  <c r="AC32" i="3" s="1"/>
  <c r="AB33" i="3"/>
  <c r="AC33" i="3" s="1"/>
  <c r="AB34" i="3"/>
  <c r="AC34" i="3" s="1"/>
  <c r="AD34" i="3" s="1"/>
  <c r="AB35" i="3"/>
  <c r="AC35" i="3" s="1"/>
  <c r="AB36" i="3"/>
  <c r="AC36" i="3" s="1"/>
  <c r="AB37" i="3"/>
  <c r="AC37" i="3" s="1"/>
  <c r="AB38" i="3"/>
  <c r="AC38" i="3" s="1"/>
  <c r="AD38" i="3" s="1"/>
  <c r="AB39" i="3"/>
  <c r="AC39" i="3" s="1"/>
  <c r="AB40" i="3"/>
  <c r="AC40" i="3"/>
  <c r="AB41" i="3"/>
  <c r="AC41" i="3" s="1"/>
  <c r="AB42" i="3"/>
  <c r="AC42" i="3" s="1"/>
  <c r="AB43" i="3"/>
  <c r="AC43" i="3" s="1"/>
  <c r="AB44" i="3"/>
  <c r="AC44" i="3"/>
  <c r="AD44" i="3" s="1"/>
  <c r="AB45" i="3"/>
  <c r="AC45" i="3" s="1"/>
  <c r="AB46" i="3"/>
  <c r="AC46" i="3" s="1"/>
  <c r="AB47" i="3"/>
  <c r="AC47" i="3" s="1"/>
  <c r="AD47" i="3" s="1"/>
  <c r="AB48" i="3"/>
  <c r="AC48" i="3"/>
  <c r="AB49" i="3"/>
  <c r="AC49" i="3" s="1"/>
  <c r="AB50" i="3"/>
  <c r="AC50" i="3" s="1"/>
  <c r="AB51" i="3"/>
  <c r="AC51" i="3" s="1"/>
  <c r="AD51" i="3" s="1"/>
  <c r="AB52" i="3"/>
  <c r="AC52" i="3"/>
  <c r="AB53" i="3"/>
  <c r="AC53" i="3" s="1"/>
  <c r="AD53" i="3" s="1"/>
  <c r="AB54" i="3"/>
  <c r="AC54" i="3" s="1"/>
  <c r="AB55" i="3"/>
  <c r="AC55" i="3" s="1"/>
  <c r="AB56" i="3"/>
  <c r="AC56" i="3"/>
  <c r="AB57" i="3"/>
  <c r="AC57" i="3" s="1"/>
  <c r="AD57" i="3" s="1"/>
  <c r="AB58" i="3"/>
  <c r="AC58" i="3" s="1"/>
  <c r="AB59" i="3"/>
  <c r="AC59" i="3" s="1"/>
  <c r="AB60" i="3"/>
  <c r="AC60" i="3" s="1"/>
  <c r="AB61" i="3"/>
  <c r="AC61" i="3" s="1"/>
  <c r="AB62" i="3"/>
  <c r="AC62" i="3" s="1"/>
  <c r="AB63" i="3"/>
  <c r="AC63" i="3" s="1"/>
  <c r="AB64" i="3"/>
  <c r="AC64" i="3" s="1"/>
  <c r="AD64" i="3" s="1"/>
  <c r="AB65" i="3"/>
  <c r="AC65" i="3" s="1"/>
  <c r="AB66" i="3"/>
  <c r="AC66" i="3" s="1"/>
  <c r="AB67" i="3"/>
  <c r="AC67" i="3" s="1"/>
  <c r="AB68" i="3"/>
  <c r="AC68" i="3" s="1"/>
  <c r="AD68" i="3" s="1"/>
  <c r="AB69" i="3"/>
  <c r="AC69" i="3" s="1"/>
  <c r="AB70" i="3"/>
  <c r="AC70" i="3" s="1"/>
  <c r="AB71" i="3"/>
  <c r="AC71" i="3" s="1"/>
  <c r="AB72" i="3"/>
  <c r="AC72" i="3"/>
  <c r="AD72" i="3" s="1"/>
  <c r="AB73" i="3"/>
  <c r="AC73" i="3" s="1"/>
  <c r="AB74" i="3"/>
  <c r="AC74" i="3" s="1"/>
  <c r="AB75" i="3"/>
  <c r="AC75" i="3" s="1"/>
  <c r="AB76" i="3"/>
  <c r="AC76" i="3"/>
  <c r="AD76" i="3" s="1"/>
  <c r="AB77" i="3"/>
  <c r="AC77" i="3" s="1"/>
  <c r="AB78" i="3"/>
  <c r="AC78" i="3" s="1"/>
  <c r="AB79" i="3"/>
  <c r="AC79" i="3" s="1"/>
  <c r="AD79" i="3" s="1"/>
  <c r="AB80" i="3"/>
  <c r="AC80" i="3"/>
  <c r="AB81" i="3"/>
  <c r="AC81" i="3" s="1"/>
  <c r="AB82" i="3"/>
  <c r="AC82" i="3" s="1"/>
  <c r="AB83" i="3"/>
  <c r="AC83" i="3" s="1"/>
  <c r="AD83" i="3" s="1"/>
  <c r="AB84" i="3"/>
  <c r="AC84" i="3"/>
  <c r="AB85" i="3"/>
  <c r="AC85" i="3" s="1"/>
  <c r="AD85" i="3" s="1"/>
  <c r="AB86" i="3"/>
  <c r="AC86" i="3" s="1"/>
  <c r="AB87" i="3"/>
  <c r="AC87" i="3" s="1"/>
  <c r="AB88" i="3"/>
  <c r="AC88" i="3"/>
  <c r="AB89" i="3"/>
  <c r="AC89" i="3" s="1"/>
  <c r="AB90" i="3"/>
  <c r="AC90" i="3" s="1"/>
  <c r="AB91" i="3"/>
  <c r="AC91" i="3" s="1"/>
  <c r="AB92" i="3"/>
  <c r="AC92" i="3" s="1"/>
  <c r="AB93" i="3"/>
  <c r="AC93" i="3" s="1"/>
  <c r="AB94" i="3"/>
  <c r="AC94" i="3" s="1"/>
  <c r="AB95" i="3"/>
  <c r="AC95" i="3"/>
  <c r="AB96" i="3"/>
  <c r="AC96" i="3"/>
  <c r="AB97" i="3"/>
  <c r="AC97" i="3" s="1"/>
  <c r="AB98" i="3"/>
  <c r="AC98" i="3" s="1"/>
  <c r="AB99" i="3"/>
  <c r="AC99" i="3" s="1"/>
  <c r="AB100" i="3"/>
  <c r="AC100" i="3"/>
  <c r="AB101" i="3"/>
  <c r="AC101" i="3" s="1"/>
  <c r="AB102" i="3"/>
  <c r="AC102" i="3" s="1"/>
  <c r="AB103" i="3"/>
  <c r="AC103" i="3" s="1"/>
  <c r="AB104" i="3"/>
  <c r="AC104" i="3" s="1"/>
  <c r="AD104" i="3" s="1"/>
  <c r="AB105" i="3"/>
  <c r="AC105" i="3" s="1"/>
  <c r="AB106" i="3"/>
  <c r="AC106" i="3" s="1"/>
  <c r="AB107" i="3"/>
  <c r="AC107" i="3"/>
  <c r="AB108" i="3"/>
  <c r="AC108" i="3" s="1"/>
  <c r="AD108" i="3" s="1"/>
  <c r="AB109" i="3"/>
  <c r="AC109" i="3" s="1"/>
  <c r="AB110" i="3"/>
  <c r="AC110" i="3" s="1"/>
  <c r="AB111" i="3"/>
  <c r="AC111" i="3"/>
  <c r="AB112" i="3"/>
  <c r="AC112" i="3"/>
  <c r="AB113" i="3"/>
  <c r="AC113" i="3" s="1"/>
  <c r="AB114" i="3"/>
  <c r="AC114" i="3" s="1"/>
  <c r="AB115" i="3"/>
  <c r="AC115" i="3" s="1"/>
  <c r="AB116" i="3"/>
  <c r="AC116" i="3"/>
  <c r="AD116" i="3" s="1"/>
  <c r="AB117" i="3"/>
  <c r="AC117" i="3" s="1"/>
  <c r="AB118" i="3"/>
  <c r="AC118" i="3" s="1"/>
  <c r="AB119" i="3"/>
  <c r="AC119" i="3" s="1"/>
  <c r="AB120" i="3"/>
  <c r="AC120" i="3" s="1"/>
  <c r="AD120" i="3" s="1"/>
  <c r="AB121" i="3"/>
  <c r="AC121" i="3" s="1"/>
  <c r="AB122" i="3"/>
  <c r="AC122" i="3" s="1"/>
  <c r="AB123" i="3"/>
  <c r="AC123" i="3"/>
  <c r="AB124" i="3"/>
  <c r="AC124" i="3" s="1"/>
  <c r="AD124" i="3" s="1"/>
  <c r="AB125" i="3"/>
  <c r="AC125" i="3" s="1"/>
  <c r="AB126" i="3"/>
  <c r="AC126" i="3" s="1"/>
  <c r="AB127" i="3"/>
  <c r="AC127" i="3"/>
  <c r="AD127" i="3" s="1"/>
  <c r="AB128" i="3"/>
  <c r="AC128" i="3"/>
  <c r="AB129" i="3"/>
  <c r="AC129" i="3" s="1"/>
  <c r="AB130" i="3"/>
  <c r="AC130" i="3" s="1"/>
  <c r="AB131" i="3"/>
  <c r="AC131" i="3" s="1"/>
  <c r="AD131" i="3" s="1"/>
  <c r="AB132" i="3"/>
  <c r="AC132" i="3"/>
  <c r="AB133" i="3"/>
  <c r="AC133" i="3" s="1"/>
  <c r="AB134" i="3"/>
  <c r="AC134" i="3" s="1"/>
  <c r="AB135" i="3"/>
  <c r="AC135" i="3" s="1"/>
  <c r="AB136" i="3"/>
  <c r="AC136" i="3" s="1"/>
  <c r="AB137" i="3"/>
  <c r="AC137" i="3" s="1"/>
  <c r="AB138" i="3"/>
  <c r="AC138" i="3" s="1"/>
  <c r="AD138" i="3" s="1"/>
  <c r="AB139" i="3"/>
  <c r="AC139" i="3"/>
  <c r="AB140" i="3"/>
  <c r="AC140" i="3" s="1"/>
  <c r="AB141" i="3"/>
  <c r="AC141" i="3" s="1"/>
  <c r="AB142" i="3"/>
  <c r="AC142" i="3" s="1"/>
  <c r="AB143" i="3"/>
  <c r="AC143" i="3"/>
  <c r="AB144" i="3"/>
  <c r="AC144" i="3"/>
  <c r="AB145" i="3"/>
  <c r="AC145" i="3" s="1"/>
  <c r="AB146" i="3"/>
  <c r="AC146" i="3" s="1"/>
  <c r="AB147" i="3"/>
  <c r="AC147" i="3" s="1"/>
  <c r="AD147" i="3" s="1"/>
  <c r="AB148" i="3"/>
  <c r="AC148" i="3"/>
  <c r="AB3" i="3"/>
  <c r="AC3" i="3" s="1"/>
  <c r="V4" i="3"/>
  <c r="V5" i="3"/>
  <c r="V6" i="3"/>
  <c r="V7" i="3"/>
  <c r="X7" i="3" s="1"/>
  <c r="V8" i="3"/>
  <c r="X8" i="3"/>
  <c r="V9" i="3"/>
  <c r="X9" i="3" s="1"/>
  <c r="V10" i="3"/>
  <c r="X10" i="3" s="1"/>
  <c r="V11" i="3"/>
  <c r="X11" i="3"/>
  <c r="V12" i="3"/>
  <c r="V13" i="3"/>
  <c r="V14" i="3"/>
  <c r="X14" i="3" s="1"/>
  <c r="V15" i="3"/>
  <c r="V16" i="3"/>
  <c r="X16" i="3" s="1"/>
  <c r="V17" i="3"/>
  <c r="X17" i="3"/>
  <c r="V18" i="3"/>
  <c r="X18" i="3" s="1"/>
  <c r="V19" i="3"/>
  <c r="X19" i="3" s="1"/>
  <c r="V20" i="3"/>
  <c r="V21" i="3"/>
  <c r="X21" i="3" s="1"/>
  <c r="V22" i="3"/>
  <c r="X22" i="3" s="1"/>
  <c r="V23" i="3"/>
  <c r="V24" i="3"/>
  <c r="X24" i="3"/>
  <c r="V25" i="3"/>
  <c r="X25" i="3"/>
  <c r="V26" i="3"/>
  <c r="X26" i="3"/>
  <c r="V27" i="3"/>
  <c r="X27" i="3" s="1"/>
  <c r="V28" i="3"/>
  <c r="V29" i="3"/>
  <c r="V30" i="3"/>
  <c r="V31" i="3"/>
  <c r="X31" i="3" s="1"/>
  <c r="V32" i="3"/>
  <c r="X32" i="3"/>
  <c r="V33" i="3"/>
  <c r="X33" i="3" s="1"/>
  <c r="V34" i="3"/>
  <c r="X34" i="3"/>
  <c r="V35" i="3"/>
  <c r="X35" i="3"/>
  <c r="V36" i="3"/>
  <c r="V37" i="3"/>
  <c r="X37" i="3" s="1"/>
  <c r="V38" i="3"/>
  <c r="X38" i="3" s="1"/>
  <c r="V39" i="3"/>
  <c r="V40" i="3"/>
  <c r="X40" i="3"/>
  <c r="V41" i="3"/>
  <c r="X41" i="3"/>
  <c r="V42" i="3"/>
  <c r="X42" i="3"/>
  <c r="V43" i="3"/>
  <c r="X43" i="3" s="1"/>
  <c r="V44" i="3"/>
  <c r="V45" i="3"/>
  <c r="X45" i="3" s="1"/>
  <c r="V46" i="3"/>
  <c r="V47" i="3"/>
  <c r="X47" i="3" s="1"/>
  <c r="V48" i="3"/>
  <c r="X48" i="3"/>
  <c r="V49" i="3"/>
  <c r="X49" i="3" s="1"/>
  <c r="V50" i="3"/>
  <c r="X50" i="3"/>
  <c r="V51" i="3"/>
  <c r="X51" i="3"/>
  <c r="V52" i="3"/>
  <c r="V53" i="3"/>
  <c r="X53" i="3" s="1"/>
  <c r="V54" i="3"/>
  <c r="X54" i="3" s="1"/>
  <c r="V55" i="3"/>
  <c r="V56" i="3"/>
  <c r="X56" i="3"/>
  <c r="V57" i="3"/>
  <c r="X57" i="3"/>
  <c r="V58" i="3"/>
  <c r="X58" i="3"/>
  <c r="V59" i="3"/>
  <c r="X59" i="3" s="1"/>
  <c r="V60" i="3"/>
  <c r="V61" i="3"/>
  <c r="V62" i="3"/>
  <c r="V63" i="3"/>
  <c r="X63" i="3" s="1"/>
  <c r="V64" i="3"/>
  <c r="X64" i="3"/>
  <c r="V65" i="3"/>
  <c r="X65" i="3" s="1"/>
  <c r="V66" i="3"/>
  <c r="X66" i="3"/>
  <c r="V67" i="3"/>
  <c r="X67" i="3"/>
  <c r="V68" i="3"/>
  <c r="V69" i="3"/>
  <c r="X69" i="3" s="1"/>
  <c r="V70" i="3"/>
  <c r="X70" i="3" s="1"/>
  <c r="V71" i="3"/>
  <c r="V72" i="3"/>
  <c r="X72" i="3"/>
  <c r="V73" i="3"/>
  <c r="X73" i="3"/>
  <c r="V74" i="3"/>
  <c r="X74" i="3"/>
  <c r="V75" i="3"/>
  <c r="X75" i="3" s="1"/>
  <c r="V76" i="3"/>
  <c r="V77" i="3"/>
  <c r="V78" i="3"/>
  <c r="V79" i="3"/>
  <c r="X79" i="3" s="1"/>
  <c r="V80" i="3"/>
  <c r="X80" i="3"/>
  <c r="V81" i="3"/>
  <c r="X81" i="3" s="1"/>
  <c r="V82" i="3"/>
  <c r="X82" i="3"/>
  <c r="V83" i="3"/>
  <c r="X83" i="3"/>
  <c r="V84" i="3"/>
  <c r="V85" i="3"/>
  <c r="X85" i="3" s="1"/>
  <c r="V86" i="3"/>
  <c r="X86" i="3" s="1"/>
  <c r="V87" i="3"/>
  <c r="V88" i="3"/>
  <c r="X88" i="3"/>
  <c r="V89" i="3"/>
  <c r="X89" i="3"/>
  <c r="V90" i="3"/>
  <c r="X90" i="3"/>
  <c r="V91" i="3"/>
  <c r="X91" i="3" s="1"/>
  <c r="V92" i="3"/>
  <c r="V93" i="3"/>
  <c r="V94" i="3"/>
  <c r="V95" i="3"/>
  <c r="X95" i="3" s="1"/>
  <c r="V96" i="3"/>
  <c r="X96" i="3"/>
  <c r="V97" i="3"/>
  <c r="X97" i="3" s="1"/>
  <c r="V98" i="3"/>
  <c r="X98" i="3"/>
  <c r="V99" i="3"/>
  <c r="X99" i="3"/>
  <c r="V100" i="3"/>
  <c r="V101" i="3"/>
  <c r="X101" i="3" s="1"/>
  <c r="V102" i="3"/>
  <c r="X102" i="3" s="1"/>
  <c r="V103" i="3"/>
  <c r="V104" i="3"/>
  <c r="X104" i="3"/>
  <c r="V105" i="3"/>
  <c r="X105" i="3"/>
  <c r="V106" i="3"/>
  <c r="X106" i="3"/>
  <c r="V107" i="3"/>
  <c r="X107" i="3" s="1"/>
  <c r="V108" i="3"/>
  <c r="V109" i="3"/>
  <c r="X109" i="3" s="1"/>
  <c r="V110" i="3"/>
  <c r="V111" i="3"/>
  <c r="X111" i="3" s="1"/>
  <c r="V112" i="3"/>
  <c r="X112" i="3"/>
  <c r="V113" i="3"/>
  <c r="X113" i="3" s="1"/>
  <c r="V114" i="3"/>
  <c r="X114" i="3"/>
  <c r="V115" i="3"/>
  <c r="X115" i="3"/>
  <c r="V116" i="3"/>
  <c r="V117" i="3"/>
  <c r="X117" i="3" s="1"/>
  <c r="V118" i="3"/>
  <c r="X118" i="3" s="1"/>
  <c r="V119" i="3"/>
  <c r="V120" i="3"/>
  <c r="X120" i="3"/>
  <c r="V121" i="3"/>
  <c r="X121" i="3"/>
  <c r="V122" i="3"/>
  <c r="X122" i="3"/>
  <c r="V123" i="3"/>
  <c r="X123" i="3" s="1"/>
  <c r="V124" i="3"/>
  <c r="V125" i="3"/>
  <c r="V126" i="3"/>
  <c r="V127" i="3"/>
  <c r="X127" i="3" s="1"/>
  <c r="V128" i="3"/>
  <c r="X128" i="3"/>
  <c r="V129" i="3"/>
  <c r="X129" i="3" s="1"/>
  <c r="V130" i="3"/>
  <c r="X130" i="3"/>
  <c r="V131" i="3"/>
  <c r="X131" i="3"/>
  <c r="V132" i="3"/>
  <c r="V133" i="3"/>
  <c r="X133" i="3" s="1"/>
  <c r="V134" i="3"/>
  <c r="X134" i="3" s="1"/>
  <c r="V135" i="3"/>
  <c r="V136" i="3"/>
  <c r="X136" i="3"/>
  <c r="V137" i="3"/>
  <c r="X137" i="3"/>
  <c r="V138" i="3"/>
  <c r="X138" i="3"/>
  <c r="V139" i="3"/>
  <c r="X139" i="3" s="1"/>
  <c r="V140" i="3"/>
  <c r="V141" i="3"/>
  <c r="V142" i="3"/>
  <c r="V143" i="3"/>
  <c r="X143" i="3" s="1"/>
  <c r="V144" i="3"/>
  <c r="X144" i="3"/>
  <c r="V145" i="3"/>
  <c r="X145" i="3" s="1"/>
  <c r="V146" i="3"/>
  <c r="X146" i="3"/>
  <c r="V147" i="3"/>
  <c r="X147" i="3"/>
  <c r="V148" i="3"/>
  <c r="V3" i="3"/>
  <c r="X3" i="3"/>
  <c r="AE4" i="3"/>
  <c r="AE5" i="3"/>
  <c r="AE6" i="3"/>
  <c r="AF6" i="3" s="1"/>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F46" i="3" s="1"/>
  <c r="AG46" i="3" s="1"/>
  <c r="P106" i="5" s="1"/>
  <c r="AE47" i="3"/>
  <c r="AE48" i="3"/>
  <c r="AE49" i="3"/>
  <c r="AE50" i="3"/>
  <c r="AE51" i="3"/>
  <c r="AE52" i="3"/>
  <c r="AE53" i="3"/>
  <c r="AE54" i="3"/>
  <c r="AF54" i="3" s="1"/>
  <c r="AE55" i="3"/>
  <c r="AE56" i="3"/>
  <c r="AE57" i="3"/>
  <c r="AE58" i="3"/>
  <c r="AE59" i="3"/>
  <c r="AE60" i="3"/>
  <c r="AE61" i="3"/>
  <c r="AE62" i="3"/>
  <c r="AE63" i="3"/>
  <c r="AE64" i="3"/>
  <c r="AE65" i="3"/>
  <c r="AE66" i="3"/>
  <c r="AE67" i="3"/>
  <c r="AF67" i="3" s="1"/>
  <c r="AE68" i="3"/>
  <c r="AE69" i="3"/>
  <c r="AE70" i="3"/>
  <c r="AE71" i="3"/>
  <c r="AE72" i="3"/>
  <c r="AE73" i="3"/>
  <c r="AE74" i="3"/>
  <c r="AE75" i="3"/>
  <c r="AF75" i="3" s="1"/>
  <c r="AE76" i="3"/>
  <c r="AE77" i="3"/>
  <c r="AE78" i="3"/>
  <c r="AE79" i="3"/>
  <c r="AE80" i="3"/>
  <c r="AE81" i="3"/>
  <c r="AE82" i="3"/>
  <c r="AE83" i="3"/>
  <c r="AF83" i="3" s="1"/>
  <c r="AE84" i="3"/>
  <c r="AE85" i="3"/>
  <c r="AE86" i="3"/>
  <c r="AE87" i="3"/>
  <c r="AE88" i="3"/>
  <c r="AE89" i="3"/>
  <c r="AE90" i="3"/>
  <c r="AE91" i="3"/>
  <c r="AF91" i="3" s="1"/>
  <c r="AE92" i="3"/>
  <c r="AE93" i="3"/>
  <c r="AE94" i="3"/>
  <c r="AE95" i="3"/>
  <c r="AE96" i="3"/>
  <c r="AE97" i="3"/>
  <c r="AE98" i="3"/>
  <c r="AE99" i="3"/>
  <c r="AF99" i="3" s="1"/>
  <c r="AE100" i="3"/>
  <c r="AE101" i="3"/>
  <c r="AE102" i="3"/>
  <c r="AF102" i="3" s="1"/>
  <c r="AE103" i="3"/>
  <c r="AE104" i="3"/>
  <c r="AE105" i="3"/>
  <c r="AE106" i="3"/>
  <c r="AE107" i="3"/>
  <c r="AF107" i="3" s="1"/>
  <c r="AE108" i="3"/>
  <c r="AE109" i="3"/>
  <c r="AE110" i="3"/>
  <c r="AF110" i="3" s="1"/>
  <c r="AE111" i="3"/>
  <c r="AE112" i="3"/>
  <c r="AE113" i="3"/>
  <c r="AE114" i="3"/>
  <c r="AE115" i="3"/>
  <c r="AF115" i="3" s="1"/>
  <c r="AE116" i="3"/>
  <c r="AE117" i="3"/>
  <c r="AE118" i="3"/>
  <c r="AF118" i="3" s="1"/>
  <c r="AE119" i="3"/>
  <c r="AE120" i="3"/>
  <c r="AE121" i="3"/>
  <c r="AE122" i="3"/>
  <c r="AE123" i="3"/>
  <c r="AF123" i="3" s="1"/>
  <c r="AE124" i="3"/>
  <c r="AE125" i="3"/>
  <c r="AE126" i="3"/>
  <c r="AF126" i="3" s="1"/>
  <c r="AE127" i="3"/>
  <c r="AE128" i="3"/>
  <c r="AE129" i="3"/>
  <c r="AE130" i="3"/>
  <c r="AE131" i="3"/>
  <c r="AE132" i="3"/>
  <c r="AE133" i="3"/>
  <c r="AE134" i="3"/>
  <c r="AF134" i="3" s="1"/>
  <c r="AE135" i="3"/>
  <c r="AE136" i="3"/>
  <c r="AE137" i="3"/>
  <c r="AE138" i="3"/>
  <c r="AE139" i="3"/>
  <c r="AF139" i="3" s="1"/>
  <c r="AE140" i="3"/>
  <c r="AE141" i="3"/>
  <c r="AE142" i="3"/>
  <c r="AF142" i="3" s="1"/>
  <c r="AE143" i="3"/>
  <c r="AE144" i="3"/>
  <c r="AE145" i="3"/>
  <c r="AE146" i="3"/>
  <c r="AE147" i="3"/>
  <c r="AE148" i="3"/>
  <c r="AE3" i="3"/>
  <c r="X4" i="3"/>
  <c r="X5" i="3"/>
  <c r="X6" i="3"/>
  <c r="X12" i="3"/>
  <c r="X13" i="3"/>
  <c r="X15" i="3"/>
  <c r="X20" i="3"/>
  <c r="X23" i="3"/>
  <c r="X28" i="3"/>
  <c r="X29" i="3"/>
  <c r="X30" i="3"/>
  <c r="X36" i="3"/>
  <c r="X39" i="3"/>
  <c r="X44" i="3"/>
  <c r="X46" i="3"/>
  <c r="X52" i="3"/>
  <c r="X55" i="3"/>
  <c r="X60" i="3"/>
  <c r="X61" i="3"/>
  <c r="X62" i="3"/>
  <c r="X68" i="3"/>
  <c r="X71" i="3"/>
  <c r="X76" i="3"/>
  <c r="X77" i="3"/>
  <c r="X78" i="3"/>
  <c r="X84" i="3"/>
  <c r="X87" i="3"/>
  <c r="X92" i="3"/>
  <c r="X93" i="3"/>
  <c r="X94" i="3"/>
  <c r="X100" i="3"/>
  <c r="X103" i="3"/>
  <c r="X108" i="3"/>
  <c r="X110" i="3"/>
  <c r="X116" i="3"/>
  <c r="X119" i="3"/>
  <c r="X124" i="3"/>
  <c r="X125" i="3"/>
  <c r="X126" i="3"/>
  <c r="X132" i="3"/>
  <c r="X135" i="3"/>
  <c r="X140" i="3"/>
  <c r="X141" i="3"/>
  <c r="X142" i="3"/>
  <c r="X148" i="3"/>
  <c r="U4" i="75"/>
  <c r="U5" i="75"/>
  <c r="U6" i="75"/>
  <c r="U7" i="75"/>
  <c r="U8" i="75"/>
  <c r="U9" i="75"/>
  <c r="U10" i="75"/>
  <c r="U11" i="75"/>
  <c r="U12" i="75"/>
  <c r="U13" i="75"/>
  <c r="U14" i="75"/>
  <c r="U15" i="75"/>
  <c r="U16" i="75"/>
  <c r="U17" i="75"/>
  <c r="U18" i="75"/>
  <c r="U19" i="75"/>
  <c r="U20" i="75"/>
  <c r="U21" i="75"/>
  <c r="U22" i="75"/>
  <c r="U23" i="75"/>
  <c r="U24" i="75"/>
  <c r="U25" i="75"/>
  <c r="U26" i="75"/>
  <c r="U27" i="75"/>
  <c r="U28" i="75"/>
  <c r="U29" i="75"/>
  <c r="U30" i="75"/>
  <c r="U31" i="75"/>
  <c r="U32" i="75"/>
  <c r="U33" i="75"/>
  <c r="U34" i="75"/>
  <c r="U35" i="75"/>
  <c r="U36" i="75"/>
  <c r="U37" i="75"/>
  <c r="U38" i="75"/>
  <c r="U39" i="75"/>
  <c r="W39" i="75" s="1"/>
  <c r="U40" i="75"/>
  <c r="U41" i="75"/>
  <c r="U42" i="75"/>
  <c r="U43" i="75"/>
  <c r="U44" i="75"/>
  <c r="U45" i="75"/>
  <c r="U46" i="75"/>
  <c r="U47" i="75"/>
  <c r="U48" i="75"/>
  <c r="U49" i="75"/>
  <c r="U50" i="75"/>
  <c r="U51" i="75"/>
  <c r="U52" i="75"/>
  <c r="U53" i="75"/>
  <c r="U54" i="75"/>
  <c r="U55" i="75"/>
  <c r="U56" i="75"/>
  <c r="U57" i="75"/>
  <c r="U58" i="75"/>
  <c r="W58" i="75" s="1"/>
  <c r="AA58" i="75" s="1"/>
  <c r="U59" i="75"/>
  <c r="U60" i="75"/>
  <c r="U61" i="75"/>
  <c r="U62" i="75"/>
  <c r="U63" i="75"/>
  <c r="U64" i="75"/>
  <c r="U65" i="75"/>
  <c r="U66" i="75"/>
  <c r="U67" i="75"/>
  <c r="U68" i="75"/>
  <c r="U69" i="75"/>
  <c r="U70" i="75"/>
  <c r="U71" i="75"/>
  <c r="W71" i="75" s="1"/>
  <c r="U72" i="75"/>
  <c r="U73" i="75"/>
  <c r="U74" i="75"/>
  <c r="U75" i="75"/>
  <c r="U76" i="75"/>
  <c r="U77" i="75"/>
  <c r="U78" i="75"/>
  <c r="U79" i="75"/>
  <c r="U80" i="75"/>
  <c r="U81" i="75"/>
  <c r="U82" i="75"/>
  <c r="U83" i="75"/>
  <c r="U84" i="75"/>
  <c r="U85" i="75"/>
  <c r="U86" i="75"/>
  <c r="U87" i="75"/>
  <c r="W87" i="75" s="1"/>
  <c r="U88" i="75"/>
  <c r="U89" i="75"/>
  <c r="U90" i="75"/>
  <c r="U91" i="75"/>
  <c r="U92" i="75"/>
  <c r="U93" i="75"/>
  <c r="U94" i="75"/>
  <c r="U95" i="75"/>
  <c r="U96" i="75"/>
  <c r="U97" i="75"/>
  <c r="U98" i="75"/>
  <c r="U99" i="75"/>
  <c r="U100" i="75"/>
  <c r="U101" i="75"/>
  <c r="U102" i="75"/>
  <c r="U103" i="75"/>
  <c r="U104" i="75"/>
  <c r="U105" i="75"/>
  <c r="U106" i="75"/>
  <c r="U107" i="75"/>
  <c r="U108" i="75"/>
  <c r="U109" i="75"/>
  <c r="U110" i="75"/>
  <c r="U111" i="75"/>
  <c r="U112" i="75"/>
  <c r="U113" i="75"/>
  <c r="U114" i="75"/>
  <c r="U115" i="75"/>
  <c r="U116" i="75"/>
  <c r="U117" i="75"/>
  <c r="U118" i="75"/>
  <c r="U119" i="75"/>
  <c r="U120" i="75"/>
  <c r="U121" i="75"/>
  <c r="W121" i="75" s="1"/>
  <c r="U122" i="75"/>
  <c r="U123" i="75"/>
  <c r="U124" i="75"/>
  <c r="U125" i="75"/>
  <c r="U126" i="75"/>
  <c r="U127" i="75"/>
  <c r="U128" i="75"/>
  <c r="U129" i="75"/>
  <c r="U130" i="75"/>
  <c r="U131" i="75"/>
  <c r="U132" i="75"/>
  <c r="U133" i="75"/>
  <c r="U134" i="75"/>
  <c r="U135" i="75"/>
  <c r="U136" i="75"/>
  <c r="U137" i="75"/>
  <c r="U138" i="75"/>
  <c r="U139" i="75"/>
  <c r="U140" i="75"/>
  <c r="U141" i="75"/>
  <c r="U142" i="75"/>
  <c r="U143" i="75"/>
  <c r="U144" i="75"/>
  <c r="U145" i="75"/>
  <c r="U146" i="75"/>
  <c r="U147" i="75"/>
  <c r="U148" i="75"/>
  <c r="U3" i="75"/>
  <c r="E93" i="75"/>
  <c r="F93" i="75"/>
  <c r="O10" i="4"/>
  <c r="P10" i="4"/>
  <c r="R10" i="4"/>
  <c r="S10" i="4" s="1"/>
  <c r="W28" i="5" s="1"/>
  <c r="O34" i="4"/>
  <c r="P34" i="4"/>
  <c r="R34" i="4"/>
  <c r="S34" i="4" s="1"/>
  <c r="O42" i="4"/>
  <c r="P42" i="4"/>
  <c r="S42" i="4" s="1"/>
  <c r="R42" i="4"/>
  <c r="O50" i="4"/>
  <c r="P50" i="4"/>
  <c r="R50" i="4"/>
  <c r="S50" i="4" s="1"/>
  <c r="W66" i="5" s="1"/>
  <c r="O58" i="4"/>
  <c r="P58" i="4" s="1"/>
  <c r="R58" i="4"/>
  <c r="O66" i="4"/>
  <c r="P66" i="4" s="1"/>
  <c r="O74" i="4"/>
  <c r="P74" i="4"/>
  <c r="S74" i="4" s="1"/>
  <c r="W90" i="5" s="1"/>
  <c r="R74" i="4"/>
  <c r="O82" i="4"/>
  <c r="P82" i="4"/>
  <c r="O98" i="4"/>
  <c r="P98" i="4"/>
  <c r="R98" i="4"/>
  <c r="S98" i="4" s="1"/>
  <c r="W134" i="5" s="1"/>
  <c r="O106" i="4"/>
  <c r="P106" i="4"/>
  <c r="R106" i="4"/>
  <c r="S106" i="4" s="1"/>
  <c r="W75" i="5" s="1"/>
  <c r="O114" i="4"/>
  <c r="P114" i="4" s="1"/>
  <c r="R114" i="4"/>
  <c r="O122" i="4"/>
  <c r="P122" i="4"/>
  <c r="S122" i="4" s="1"/>
  <c r="R122" i="4"/>
  <c r="W63" i="5"/>
  <c r="O130" i="4"/>
  <c r="P130" i="4"/>
  <c r="S130" i="4" s="1"/>
  <c r="W110" i="5" s="1"/>
  <c r="R130" i="4"/>
  <c r="O138" i="4"/>
  <c r="P138" i="4"/>
  <c r="R138" i="4"/>
  <c r="S138" i="4" s="1"/>
  <c r="W101" i="5" s="1"/>
  <c r="O146" i="4"/>
  <c r="P146" i="4"/>
  <c r="O4" i="4"/>
  <c r="O5" i="4"/>
  <c r="O6" i="4"/>
  <c r="P6" i="4"/>
  <c r="O7" i="4"/>
  <c r="P7" i="4"/>
  <c r="O8" i="4"/>
  <c r="O11" i="4"/>
  <c r="O12" i="4"/>
  <c r="O13" i="4"/>
  <c r="O14" i="4"/>
  <c r="P14" i="4"/>
  <c r="O15" i="4"/>
  <c r="P15" i="4"/>
  <c r="O16" i="4"/>
  <c r="P16" i="4"/>
  <c r="R16" i="4"/>
  <c r="S16" i="4" s="1"/>
  <c r="O17" i="4"/>
  <c r="O18" i="4"/>
  <c r="O19" i="4"/>
  <c r="O20" i="4"/>
  <c r="O21" i="4"/>
  <c r="O22" i="4"/>
  <c r="P22" i="4"/>
  <c r="O23" i="4"/>
  <c r="P23" i="4"/>
  <c r="O24" i="4"/>
  <c r="O25" i="4"/>
  <c r="O26" i="4"/>
  <c r="O27" i="4"/>
  <c r="O28" i="4"/>
  <c r="O29" i="4"/>
  <c r="O30" i="4"/>
  <c r="P30" i="4"/>
  <c r="O31" i="4"/>
  <c r="P31" i="4" s="1"/>
  <c r="O32" i="4"/>
  <c r="O33" i="4"/>
  <c r="O35" i="4"/>
  <c r="O36" i="4"/>
  <c r="O37" i="4"/>
  <c r="O38" i="4"/>
  <c r="P38" i="4"/>
  <c r="O39" i="4"/>
  <c r="P39" i="4"/>
  <c r="O40" i="4"/>
  <c r="P40" i="4"/>
  <c r="R40" i="4"/>
  <c r="S40" i="4" s="1"/>
  <c r="O41" i="4"/>
  <c r="O43" i="4"/>
  <c r="O44" i="4"/>
  <c r="O45" i="4"/>
  <c r="O46" i="4"/>
  <c r="P46" i="4"/>
  <c r="O47" i="4"/>
  <c r="P47" i="4" s="1"/>
  <c r="O48" i="4"/>
  <c r="O49" i="4"/>
  <c r="O51" i="4"/>
  <c r="O52" i="4"/>
  <c r="O53" i="4"/>
  <c r="O54" i="4"/>
  <c r="P54" i="4"/>
  <c r="O55" i="4"/>
  <c r="P55" i="4"/>
  <c r="O56" i="4"/>
  <c r="P56" i="4" s="1"/>
  <c r="O57" i="4"/>
  <c r="O59" i="4"/>
  <c r="O60" i="4"/>
  <c r="O61" i="4"/>
  <c r="O62" i="4"/>
  <c r="P62" i="4"/>
  <c r="O63" i="4"/>
  <c r="P63" i="4" s="1"/>
  <c r="O64" i="4"/>
  <c r="O65" i="4"/>
  <c r="O67" i="4"/>
  <c r="O68" i="4"/>
  <c r="O69" i="4"/>
  <c r="O70" i="4"/>
  <c r="P70" i="4"/>
  <c r="O71" i="4"/>
  <c r="P71" i="4"/>
  <c r="O72" i="4"/>
  <c r="O73" i="4"/>
  <c r="O75" i="4"/>
  <c r="O76" i="4"/>
  <c r="O77" i="4"/>
  <c r="O78" i="4"/>
  <c r="P78" i="4" s="1"/>
  <c r="O79" i="4"/>
  <c r="P79" i="4" s="1"/>
  <c r="O80" i="4"/>
  <c r="P80" i="4"/>
  <c r="O81" i="4"/>
  <c r="O83" i="4"/>
  <c r="O84" i="4"/>
  <c r="O85" i="4"/>
  <c r="O86" i="4"/>
  <c r="P86" i="4" s="1"/>
  <c r="O87" i="4"/>
  <c r="P87" i="4"/>
  <c r="O88" i="4"/>
  <c r="O89" i="4"/>
  <c r="O90" i="4"/>
  <c r="O91" i="4"/>
  <c r="O92" i="4"/>
  <c r="O93" i="4"/>
  <c r="O94" i="4"/>
  <c r="P94" i="4"/>
  <c r="O95" i="4"/>
  <c r="P95" i="4"/>
  <c r="O96" i="4"/>
  <c r="O97" i="4"/>
  <c r="O99" i="4"/>
  <c r="O100" i="4"/>
  <c r="O101" i="4"/>
  <c r="O102" i="4"/>
  <c r="O103" i="4"/>
  <c r="P103" i="4"/>
  <c r="O104" i="4"/>
  <c r="P104" i="4" s="1"/>
  <c r="R104" i="4"/>
  <c r="O105" i="4"/>
  <c r="O107" i="4"/>
  <c r="O108" i="4"/>
  <c r="O109" i="4"/>
  <c r="O110" i="4"/>
  <c r="P110" i="4" s="1"/>
  <c r="O111" i="4"/>
  <c r="P111" i="4" s="1"/>
  <c r="O112" i="4"/>
  <c r="O113" i="4"/>
  <c r="O115" i="4"/>
  <c r="O116" i="4"/>
  <c r="O117" i="4"/>
  <c r="O118" i="4"/>
  <c r="P118" i="4"/>
  <c r="O119" i="4"/>
  <c r="P119" i="4"/>
  <c r="O120" i="4"/>
  <c r="O121" i="4"/>
  <c r="O123" i="4"/>
  <c r="O124" i="4"/>
  <c r="O125" i="4"/>
  <c r="O126" i="4"/>
  <c r="P126" i="4" s="1"/>
  <c r="O127" i="4"/>
  <c r="P127" i="4"/>
  <c r="O128" i="4"/>
  <c r="O129" i="4"/>
  <c r="O131" i="4"/>
  <c r="O132" i="4"/>
  <c r="O133" i="4"/>
  <c r="O134" i="4"/>
  <c r="P134" i="4"/>
  <c r="O135" i="4"/>
  <c r="P135" i="4" s="1"/>
  <c r="O136" i="4"/>
  <c r="O137" i="4"/>
  <c r="O139" i="4"/>
  <c r="O140" i="4"/>
  <c r="O141" i="4"/>
  <c r="O142" i="4"/>
  <c r="P142" i="4"/>
  <c r="O143" i="4"/>
  <c r="P143" i="4"/>
  <c r="O144" i="4"/>
  <c r="O145" i="4"/>
  <c r="O147" i="4"/>
  <c r="O148" i="4"/>
  <c r="O3" i="4"/>
  <c r="Z16" i="5"/>
  <c r="AE7" i="4"/>
  <c r="AB14" i="5"/>
  <c r="AE11" i="4"/>
  <c r="AB24" i="5" s="1"/>
  <c r="AE15" i="4"/>
  <c r="AB26" i="5" s="1"/>
  <c r="AE19" i="4"/>
  <c r="AB29" i="5"/>
  <c r="AE24" i="4"/>
  <c r="AB23" i="5"/>
  <c r="AE27" i="4"/>
  <c r="AB5" i="5" s="1"/>
  <c r="AE28" i="4"/>
  <c r="AB6" i="5" s="1"/>
  <c r="AE35" i="4"/>
  <c r="AB39" i="5"/>
  <c r="AE39" i="4"/>
  <c r="AB94" i="5"/>
  <c r="AE56" i="4"/>
  <c r="AB76" i="5" s="1"/>
  <c r="AE64" i="4"/>
  <c r="AE67" i="4"/>
  <c r="AB57" i="5"/>
  <c r="AE91" i="4"/>
  <c r="AB12" i="5" s="1"/>
  <c r="AE99" i="4"/>
  <c r="AE122" i="4"/>
  <c r="AE124" i="4"/>
  <c r="AE127" i="4"/>
  <c r="AB120" i="5" s="1"/>
  <c r="AE132" i="4"/>
  <c r="AB61" i="5"/>
  <c r="AE135" i="4"/>
  <c r="AB149" i="5"/>
  <c r="AE148" i="4"/>
  <c r="AB49" i="5" s="1"/>
  <c r="AI4" i="4"/>
  <c r="AA34" i="5" s="1"/>
  <c r="AI8" i="4"/>
  <c r="AA33" i="5"/>
  <c r="AI20" i="4"/>
  <c r="AA8" i="5"/>
  <c r="AI24" i="4"/>
  <c r="AA23" i="5" s="1"/>
  <c r="AI3" i="4"/>
  <c r="AA31" i="5" s="1"/>
  <c r="U7" i="4"/>
  <c r="X14" i="5"/>
  <c r="U55" i="4"/>
  <c r="X126" i="5"/>
  <c r="U63" i="4"/>
  <c r="X116" i="5" s="1"/>
  <c r="U79" i="4"/>
  <c r="X92" i="5" s="1"/>
  <c r="U87" i="4"/>
  <c r="X72" i="5"/>
  <c r="U95" i="4"/>
  <c r="X129" i="5"/>
  <c r="U103" i="4"/>
  <c r="X148" i="5" s="1"/>
  <c r="U111" i="4"/>
  <c r="X65" i="5" s="1"/>
  <c r="U119" i="4"/>
  <c r="X47" i="5"/>
  <c r="U127" i="4"/>
  <c r="X120" i="5"/>
  <c r="U135" i="4"/>
  <c r="X149" i="5" s="1"/>
  <c r="U143" i="4"/>
  <c r="X53" i="5" s="1"/>
  <c r="J90" i="75"/>
  <c r="J91" i="75"/>
  <c r="M91" i="75" s="1"/>
  <c r="J92" i="75"/>
  <c r="M92" i="75"/>
  <c r="J93" i="75"/>
  <c r="M93" i="75"/>
  <c r="J89" i="75"/>
  <c r="M89" i="75"/>
  <c r="J4" i="75"/>
  <c r="M4" i="75" s="1"/>
  <c r="J5" i="75"/>
  <c r="M5" i="75"/>
  <c r="J6" i="75"/>
  <c r="M6" i="75"/>
  <c r="J7" i="75"/>
  <c r="M7" i="75"/>
  <c r="J8" i="75"/>
  <c r="M8" i="75" s="1"/>
  <c r="J9" i="75"/>
  <c r="M9" i="75"/>
  <c r="J10" i="75"/>
  <c r="M10" i="75"/>
  <c r="J11" i="75"/>
  <c r="M11" i="75"/>
  <c r="J12" i="75"/>
  <c r="M12" i="75" s="1"/>
  <c r="N12" i="75" s="1"/>
  <c r="J13" i="75"/>
  <c r="M13" i="75"/>
  <c r="J14" i="75"/>
  <c r="M14" i="75"/>
  <c r="J15" i="75"/>
  <c r="J16" i="75"/>
  <c r="M16" i="75"/>
  <c r="J17" i="75"/>
  <c r="M17" i="75"/>
  <c r="I17" i="75"/>
  <c r="L17" i="75" s="1"/>
  <c r="N17" i="75" s="1"/>
  <c r="J18" i="75"/>
  <c r="M18" i="75"/>
  <c r="J19" i="75"/>
  <c r="M19" i="75" s="1"/>
  <c r="J3" i="75"/>
  <c r="M3" i="75"/>
  <c r="I90" i="75"/>
  <c r="L90" i="75"/>
  <c r="I91" i="75"/>
  <c r="L91" i="75"/>
  <c r="I92" i="75"/>
  <c r="I93" i="75"/>
  <c r="I89" i="75"/>
  <c r="L89" i="75"/>
  <c r="N89" i="75" s="1"/>
  <c r="I4" i="75"/>
  <c r="L4" i="75" s="1"/>
  <c r="N4" i="75" s="1"/>
  <c r="I5" i="75"/>
  <c r="L5" i="75" s="1"/>
  <c r="I6" i="75"/>
  <c r="L6" i="75"/>
  <c r="I7" i="75"/>
  <c r="L7" i="75"/>
  <c r="I8" i="75"/>
  <c r="L8" i="75"/>
  <c r="I9" i="75"/>
  <c r="L9" i="75" s="1"/>
  <c r="I10" i="75"/>
  <c r="I11" i="75"/>
  <c r="L11" i="75" s="1"/>
  <c r="N11" i="75" s="1"/>
  <c r="I12" i="75"/>
  <c r="L12" i="75"/>
  <c r="I13" i="75"/>
  <c r="L13" i="75"/>
  <c r="I14" i="75"/>
  <c r="L14" i="75" s="1"/>
  <c r="I15" i="75"/>
  <c r="L15" i="75" s="1"/>
  <c r="I16" i="75"/>
  <c r="L16" i="75"/>
  <c r="I18" i="75"/>
  <c r="I19" i="75"/>
  <c r="L19" i="75"/>
  <c r="I3" i="75"/>
  <c r="L3" i="75" s="1"/>
  <c r="G10" i="75"/>
  <c r="G18" i="75"/>
  <c r="G92" i="75"/>
  <c r="G5" i="75"/>
  <c r="G6" i="75"/>
  <c r="G13" i="75"/>
  <c r="G14" i="75"/>
  <c r="G17" i="75"/>
  <c r="H90" i="75"/>
  <c r="K90" i="75"/>
  <c r="H91" i="75"/>
  <c r="K91" i="75"/>
  <c r="H92" i="75"/>
  <c r="K92" i="75" s="1"/>
  <c r="O92" i="75" s="1"/>
  <c r="E11" i="5" s="1"/>
  <c r="H93" i="75"/>
  <c r="K93" i="75"/>
  <c r="O93" i="75" s="1"/>
  <c r="H89" i="75"/>
  <c r="K89" i="75"/>
  <c r="H4" i="75"/>
  <c r="K4" i="75"/>
  <c r="O4" i="75" s="1"/>
  <c r="H5" i="75"/>
  <c r="K5" i="75"/>
  <c r="H6" i="75"/>
  <c r="K6" i="75"/>
  <c r="H7" i="75"/>
  <c r="K7" i="75" s="1"/>
  <c r="H8" i="75"/>
  <c r="K8" i="75" s="1"/>
  <c r="H9" i="75"/>
  <c r="K9" i="75"/>
  <c r="H10" i="75"/>
  <c r="K10" i="75"/>
  <c r="H11" i="75"/>
  <c r="K11" i="75" s="1"/>
  <c r="H12" i="75"/>
  <c r="K12" i="75" s="1"/>
  <c r="O12" i="75" s="1"/>
  <c r="H13" i="75"/>
  <c r="K13" i="75" s="1"/>
  <c r="H14" i="75"/>
  <c r="K14" i="75"/>
  <c r="O14" i="75" s="1"/>
  <c r="E15" i="5" s="1"/>
  <c r="H15" i="75"/>
  <c r="K15" i="75"/>
  <c r="H16" i="75"/>
  <c r="K16" i="75" s="1"/>
  <c r="H17" i="75"/>
  <c r="K17" i="75"/>
  <c r="H18" i="75"/>
  <c r="K18" i="75"/>
  <c r="H19" i="75"/>
  <c r="K19" i="75"/>
  <c r="S4" i="75"/>
  <c r="S5" i="75"/>
  <c r="S6" i="75"/>
  <c r="S7" i="75"/>
  <c r="S8" i="75"/>
  <c r="S9" i="75"/>
  <c r="S10" i="75"/>
  <c r="S11" i="75"/>
  <c r="S12" i="75"/>
  <c r="S13" i="75"/>
  <c r="T13" i="75"/>
  <c r="I16" i="5" s="1"/>
  <c r="S14" i="75"/>
  <c r="S15" i="75"/>
  <c r="S16" i="75"/>
  <c r="S17" i="75"/>
  <c r="S18" i="75"/>
  <c r="S19" i="75"/>
  <c r="S20" i="75"/>
  <c r="S21" i="75"/>
  <c r="S22" i="75"/>
  <c r="S23" i="75"/>
  <c r="S24" i="75"/>
  <c r="S25" i="75"/>
  <c r="S26" i="75"/>
  <c r="S27" i="75"/>
  <c r="S28" i="75"/>
  <c r="S29" i="75"/>
  <c r="S30" i="75"/>
  <c r="S31" i="75"/>
  <c r="S32" i="75"/>
  <c r="S33" i="75"/>
  <c r="S34" i="75"/>
  <c r="S35" i="75"/>
  <c r="S36" i="75"/>
  <c r="S37" i="75"/>
  <c r="T37" i="75"/>
  <c r="I43" i="5" s="1"/>
  <c r="S38" i="75"/>
  <c r="S39" i="75"/>
  <c r="S40" i="75"/>
  <c r="S41" i="75"/>
  <c r="S42" i="75"/>
  <c r="S43" i="75"/>
  <c r="S44" i="75"/>
  <c r="S45" i="75"/>
  <c r="S46" i="75"/>
  <c r="S47" i="75"/>
  <c r="S48" i="75"/>
  <c r="S49" i="75"/>
  <c r="S50" i="75"/>
  <c r="S51" i="75"/>
  <c r="S52" i="75"/>
  <c r="T52" i="75"/>
  <c r="I89" i="5" s="1"/>
  <c r="S53" i="75"/>
  <c r="S54" i="75"/>
  <c r="S55" i="75"/>
  <c r="S56" i="75"/>
  <c r="S57" i="75"/>
  <c r="S58" i="75"/>
  <c r="S59" i="75"/>
  <c r="S60" i="75"/>
  <c r="S61" i="75"/>
  <c r="S62" i="75"/>
  <c r="S63" i="75"/>
  <c r="S64" i="75"/>
  <c r="S65" i="75"/>
  <c r="S66" i="75"/>
  <c r="S67" i="75"/>
  <c r="S68" i="75"/>
  <c r="S69" i="75"/>
  <c r="T69" i="75"/>
  <c r="I128" i="5" s="1"/>
  <c r="S70" i="75"/>
  <c r="S71" i="75"/>
  <c r="T71" i="75" s="1"/>
  <c r="S72" i="75"/>
  <c r="S73" i="75"/>
  <c r="S74" i="75"/>
  <c r="S75" i="75"/>
  <c r="S76" i="75"/>
  <c r="S77" i="75"/>
  <c r="S78" i="75"/>
  <c r="S79" i="75"/>
  <c r="S80" i="75"/>
  <c r="S81" i="75"/>
  <c r="S82" i="75"/>
  <c r="S83" i="75"/>
  <c r="S84" i="75"/>
  <c r="S85" i="75"/>
  <c r="S86" i="75"/>
  <c r="S87" i="75"/>
  <c r="S88" i="75"/>
  <c r="S89" i="75"/>
  <c r="S90" i="75"/>
  <c r="S91" i="75"/>
  <c r="S92" i="75"/>
  <c r="S93" i="75"/>
  <c r="T93" i="75"/>
  <c r="I36" i="5"/>
  <c r="S94" i="75"/>
  <c r="S95" i="75"/>
  <c r="S96" i="75"/>
  <c r="S97" i="75"/>
  <c r="S98" i="75"/>
  <c r="S99" i="75"/>
  <c r="S100" i="75"/>
  <c r="T100" i="75"/>
  <c r="I130" i="5" s="1"/>
  <c r="S101" i="75"/>
  <c r="T101" i="75"/>
  <c r="I131" i="5" s="1"/>
  <c r="S102" i="75"/>
  <c r="S103" i="75"/>
  <c r="S104" i="75"/>
  <c r="S105" i="75"/>
  <c r="S106" i="75"/>
  <c r="S107" i="75"/>
  <c r="S108" i="75"/>
  <c r="S109" i="75"/>
  <c r="I83" i="5"/>
  <c r="S110" i="75"/>
  <c r="S111" i="75"/>
  <c r="S112" i="75"/>
  <c r="S113" i="75"/>
  <c r="S114" i="75"/>
  <c r="T114" i="75" s="1"/>
  <c r="S115" i="75"/>
  <c r="S116" i="75"/>
  <c r="T116" i="75"/>
  <c r="I125" i="5" s="1"/>
  <c r="S117" i="75"/>
  <c r="T117" i="75"/>
  <c r="I133" i="5" s="1"/>
  <c r="S118" i="75"/>
  <c r="S119" i="75"/>
  <c r="S120" i="75"/>
  <c r="S121" i="75"/>
  <c r="S122" i="75"/>
  <c r="S123" i="75"/>
  <c r="S124" i="75"/>
  <c r="S125" i="75"/>
  <c r="I105" i="5"/>
  <c r="S126" i="75"/>
  <c r="S127" i="75"/>
  <c r="S128" i="75"/>
  <c r="S129" i="75"/>
  <c r="S130" i="75"/>
  <c r="S131" i="75"/>
  <c r="S132" i="75"/>
  <c r="T132" i="75"/>
  <c r="I61" i="5" s="1"/>
  <c r="S133" i="75"/>
  <c r="S134" i="75"/>
  <c r="S135" i="75"/>
  <c r="S136" i="75"/>
  <c r="S137" i="75"/>
  <c r="S138" i="75"/>
  <c r="S139" i="75"/>
  <c r="S140" i="75"/>
  <c r="S141" i="75"/>
  <c r="S142" i="75"/>
  <c r="S143" i="75"/>
  <c r="T143" i="75" s="1"/>
  <c r="S144" i="75"/>
  <c r="S145" i="75"/>
  <c r="S146" i="75"/>
  <c r="S147" i="75"/>
  <c r="S148" i="75"/>
  <c r="S3" i="75"/>
  <c r="R4" i="75"/>
  <c r="R5" i="75"/>
  <c r="T5" i="75" s="1"/>
  <c r="I32" i="5" s="1"/>
  <c r="R6" i="75"/>
  <c r="R7" i="75"/>
  <c r="T7" i="75" s="1"/>
  <c r="R8" i="75"/>
  <c r="R9" i="75"/>
  <c r="R10" i="75"/>
  <c r="T10" i="75"/>
  <c r="I28" i="5"/>
  <c r="R11" i="75"/>
  <c r="R12" i="75"/>
  <c r="T12" i="75" s="1"/>
  <c r="I25" i="5" s="1"/>
  <c r="R13" i="75"/>
  <c r="R14" i="75"/>
  <c r="R15" i="75"/>
  <c r="T15" i="75" s="1"/>
  <c r="R16" i="75"/>
  <c r="R17" i="75"/>
  <c r="R18" i="75"/>
  <c r="T18" i="75"/>
  <c r="I18" i="5" s="1"/>
  <c r="R19" i="75"/>
  <c r="R20" i="75"/>
  <c r="T20" i="75" s="1"/>
  <c r="I8" i="5" s="1"/>
  <c r="R21" i="75"/>
  <c r="T21" i="75" s="1"/>
  <c r="R22" i="75"/>
  <c r="R23" i="75"/>
  <c r="T23" i="75" s="1"/>
  <c r="I21" i="5" s="1"/>
  <c r="R24" i="75"/>
  <c r="R25" i="75"/>
  <c r="R26" i="75"/>
  <c r="T26" i="75" s="1"/>
  <c r="I22" i="5" s="1"/>
  <c r="R27" i="75"/>
  <c r="R28" i="75"/>
  <c r="R29" i="75"/>
  <c r="T29" i="75" s="1"/>
  <c r="R30" i="75"/>
  <c r="R31" i="75"/>
  <c r="T31" i="75"/>
  <c r="I35" i="5" s="1"/>
  <c r="R32" i="75"/>
  <c r="R33" i="75"/>
  <c r="R34" i="75"/>
  <c r="T34" i="75"/>
  <c r="I37" i="5" s="1"/>
  <c r="R35" i="75"/>
  <c r="R36" i="75"/>
  <c r="T36" i="75" s="1"/>
  <c r="I93" i="5" s="1"/>
  <c r="R37" i="75"/>
  <c r="R38" i="75"/>
  <c r="R39" i="75"/>
  <c r="R40" i="75"/>
  <c r="R41" i="75"/>
  <c r="R42" i="75"/>
  <c r="T42" i="75" s="1"/>
  <c r="I112" i="5" s="1"/>
  <c r="R43" i="75"/>
  <c r="T43" i="75" s="1"/>
  <c r="I108" i="5" s="1"/>
  <c r="R44" i="75"/>
  <c r="T44" i="75" s="1"/>
  <c r="I81" i="5" s="1"/>
  <c r="R45" i="75"/>
  <c r="T45" i="75" s="1"/>
  <c r="I91" i="5" s="1"/>
  <c r="R46" i="75"/>
  <c r="R47" i="75"/>
  <c r="T47" i="75"/>
  <c r="I82" i="5"/>
  <c r="R48" i="75"/>
  <c r="R49" i="75"/>
  <c r="R50" i="75"/>
  <c r="T50" i="75"/>
  <c r="R51" i="75"/>
  <c r="R52" i="75"/>
  <c r="R53" i="75"/>
  <c r="R54" i="75"/>
  <c r="R55" i="75"/>
  <c r="T55" i="75"/>
  <c r="I126" i="5" s="1"/>
  <c r="R56" i="75"/>
  <c r="R57" i="75"/>
  <c r="R58" i="75"/>
  <c r="T58" i="75"/>
  <c r="I99" i="5"/>
  <c r="R59" i="75"/>
  <c r="R60" i="75"/>
  <c r="T60" i="75" s="1"/>
  <c r="I124" i="5" s="1"/>
  <c r="R61" i="75"/>
  <c r="T61" i="75" s="1"/>
  <c r="I103" i="5" s="1"/>
  <c r="R62" i="75"/>
  <c r="R63" i="75"/>
  <c r="T63" i="75" s="1"/>
  <c r="I116" i="5" s="1"/>
  <c r="R64" i="75"/>
  <c r="R65" i="75"/>
  <c r="R66" i="75"/>
  <c r="T66" i="75" s="1"/>
  <c r="I67" i="5" s="1"/>
  <c r="R67" i="75"/>
  <c r="T67" i="75" s="1"/>
  <c r="I57" i="5" s="1"/>
  <c r="R68" i="75"/>
  <c r="T68" i="75" s="1"/>
  <c r="R69" i="75"/>
  <c r="R70" i="75"/>
  <c r="R71" i="75"/>
  <c r="I56" i="5"/>
  <c r="R72" i="75"/>
  <c r="R73" i="75"/>
  <c r="R74" i="75"/>
  <c r="R75" i="75"/>
  <c r="R76" i="75"/>
  <c r="T76" i="75" s="1"/>
  <c r="I42" i="5" s="1"/>
  <c r="R77" i="75"/>
  <c r="T77" i="75" s="1"/>
  <c r="R78" i="75"/>
  <c r="R79" i="75"/>
  <c r="T79" i="75" s="1"/>
  <c r="I92" i="5" s="1"/>
  <c r="R80" i="75"/>
  <c r="R81" i="75"/>
  <c r="R82" i="75"/>
  <c r="R83" i="75"/>
  <c r="R84" i="75"/>
  <c r="T84" i="75" s="1"/>
  <c r="I117" i="5" s="1"/>
  <c r="R85" i="75"/>
  <c r="T85" i="75" s="1"/>
  <c r="I115" i="5" s="1"/>
  <c r="R86" i="75"/>
  <c r="R87" i="75"/>
  <c r="T87" i="75"/>
  <c r="I72" i="5" s="1"/>
  <c r="R88" i="75"/>
  <c r="R89" i="75"/>
  <c r="R90" i="75"/>
  <c r="T90" i="75"/>
  <c r="I20" i="5" s="1"/>
  <c r="R91" i="75"/>
  <c r="R92" i="75"/>
  <c r="T92" i="75" s="1"/>
  <c r="R93" i="75"/>
  <c r="R94" i="75"/>
  <c r="R95" i="75"/>
  <c r="T95" i="75"/>
  <c r="I129" i="5"/>
  <c r="R96" i="75"/>
  <c r="R97" i="75"/>
  <c r="R98" i="75"/>
  <c r="R99" i="75"/>
  <c r="R100" i="75"/>
  <c r="R101" i="75"/>
  <c r="R102" i="75"/>
  <c r="R103" i="75"/>
  <c r="T103" i="75" s="1"/>
  <c r="I148" i="5" s="1"/>
  <c r="R104" i="75"/>
  <c r="R105" i="75"/>
  <c r="R106" i="75"/>
  <c r="T106" i="75" s="1"/>
  <c r="I75" i="5" s="1"/>
  <c r="R107" i="75"/>
  <c r="R108" i="75"/>
  <c r="T108" i="75" s="1"/>
  <c r="I54" i="5" s="1"/>
  <c r="R109" i="75"/>
  <c r="T109" i="75" s="1"/>
  <c r="R110" i="75"/>
  <c r="R111" i="75"/>
  <c r="T111" i="75"/>
  <c r="I65" i="5" s="1"/>
  <c r="R112" i="75"/>
  <c r="R113" i="75"/>
  <c r="R114" i="75"/>
  <c r="I140" i="5"/>
  <c r="R115" i="75"/>
  <c r="R116" i="75"/>
  <c r="R117" i="75"/>
  <c r="R118" i="75"/>
  <c r="R119" i="75"/>
  <c r="T119" i="75" s="1"/>
  <c r="R120" i="75"/>
  <c r="R121" i="75"/>
  <c r="R122" i="75"/>
  <c r="R123" i="75"/>
  <c r="R124" i="75"/>
  <c r="T124" i="75" s="1"/>
  <c r="I143" i="5" s="1"/>
  <c r="R125" i="75"/>
  <c r="T125" i="75" s="1"/>
  <c r="R126" i="75"/>
  <c r="R127" i="75"/>
  <c r="T127" i="75"/>
  <c r="I120" i="5"/>
  <c r="R128" i="75"/>
  <c r="R129" i="75"/>
  <c r="R130" i="75"/>
  <c r="T130" i="75"/>
  <c r="I110" i="5"/>
  <c r="R131" i="75"/>
  <c r="T131" i="75"/>
  <c r="I111" i="5"/>
  <c r="R132" i="75"/>
  <c r="R133" i="75"/>
  <c r="R134" i="75"/>
  <c r="R135" i="75"/>
  <c r="T135" i="75"/>
  <c r="I149" i="5" s="1"/>
  <c r="R136" i="75"/>
  <c r="R137" i="75"/>
  <c r="R138" i="75"/>
  <c r="R139" i="75"/>
  <c r="R140" i="75"/>
  <c r="T140" i="75" s="1"/>
  <c r="I69" i="5" s="1"/>
  <c r="R141" i="75"/>
  <c r="T141" i="75" s="1"/>
  <c r="I62" i="5" s="1"/>
  <c r="R142" i="75"/>
  <c r="R143" i="75"/>
  <c r="I53" i="5"/>
  <c r="R144" i="75"/>
  <c r="R145" i="75"/>
  <c r="R146" i="75"/>
  <c r="R147" i="75"/>
  <c r="R148" i="75"/>
  <c r="T148" i="75" s="1"/>
  <c r="I49" i="5" s="1"/>
  <c r="R3" i="75"/>
  <c r="T3" i="75" s="1"/>
  <c r="AE74" i="4"/>
  <c r="AB90" i="5"/>
  <c r="AE66" i="4"/>
  <c r="AB67" i="5"/>
  <c r="M4" i="3"/>
  <c r="M5" i="3"/>
  <c r="M6" i="3"/>
  <c r="M7" i="3"/>
  <c r="M8" i="3"/>
  <c r="M9" i="3"/>
  <c r="O9" i="3" s="1"/>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O57" i="3" s="1"/>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O89" i="3" s="1"/>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O121" i="3" s="1"/>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3" i="3"/>
  <c r="D120" i="3"/>
  <c r="E120" i="3"/>
  <c r="F148" i="3"/>
  <c r="F4" i="3"/>
  <c r="F5" i="3"/>
  <c r="F6" i="3"/>
  <c r="F7" i="3"/>
  <c r="F8" i="3"/>
  <c r="F9" i="3"/>
  <c r="F10" i="3"/>
  <c r="F11" i="3"/>
  <c r="F12" i="3"/>
  <c r="F13" i="3"/>
  <c r="F14" i="3"/>
  <c r="F15" i="3"/>
  <c r="F16" i="3"/>
  <c r="F17" i="3"/>
  <c r="F18" i="3"/>
  <c r="F19" i="3"/>
  <c r="F20" i="3"/>
  <c r="F21" i="3"/>
  <c r="F22" i="3"/>
  <c r="F23" i="3"/>
  <c r="F24" i="3"/>
  <c r="F25" i="3"/>
  <c r="F26" i="3"/>
  <c r="F27" i="3"/>
  <c r="F28" i="3"/>
  <c r="I28" i="3" s="1"/>
  <c r="F29" i="3"/>
  <c r="F30" i="3"/>
  <c r="F31" i="3"/>
  <c r="F32" i="3"/>
  <c r="F33" i="3"/>
  <c r="F34" i="3"/>
  <c r="F35" i="3"/>
  <c r="F36" i="3"/>
  <c r="I36" i="3" s="1"/>
  <c r="F37" i="3"/>
  <c r="F38" i="3"/>
  <c r="F39" i="3"/>
  <c r="F40" i="3"/>
  <c r="F41" i="3"/>
  <c r="F42" i="3"/>
  <c r="F43" i="3"/>
  <c r="F44" i="3"/>
  <c r="F45" i="3"/>
  <c r="F46" i="3"/>
  <c r="F47" i="3"/>
  <c r="F48" i="3"/>
  <c r="F49" i="3"/>
  <c r="F50" i="3"/>
  <c r="F51" i="3"/>
  <c r="F52" i="3"/>
  <c r="I52" i="3" s="1"/>
  <c r="F53" i="3"/>
  <c r="F54" i="3"/>
  <c r="F55" i="3"/>
  <c r="F56" i="3"/>
  <c r="F57" i="3"/>
  <c r="F58" i="3"/>
  <c r="F59" i="3"/>
  <c r="F60" i="3"/>
  <c r="I60" i="3" s="1"/>
  <c r="F61" i="3"/>
  <c r="F62" i="3"/>
  <c r="F63" i="3"/>
  <c r="F64" i="3"/>
  <c r="F65" i="3"/>
  <c r="F66" i="3"/>
  <c r="F67" i="3"/>
  <c r="F68" i="3"/>
  <c r="I68" i="3" s="1"/>
  <c r="F69" i="3"/>
  <c r="F70" i="3"/>
  <c r="F71" i="3"/>
  <c r="F72" i="3"/>
  <c r="F73" i="3"/>
  <c r="F74" i="3"/>
  <c r="F75" i="3"/>
  <c r="F76" i="3"/>
  <c r="I76" i="3" s="1"/>
  <c r="F77" i="3"/>
  <c r="F78" i="3"/>
  <c r="F79" i="3"/>
  <c r="F80" i="3"/>
  <c r="F81" i="3"/>
  <c r="F82" i="3"/>
  <c r="F83" i="3"/>
  <c r="F84" i="3"/>
  <c r="I84" i="3" s="1"/>
  <c r="F85" i="3"/>
  <c r="F86" i="3"/>
  <c r="F87" i="3"/>
  <c r="F88" i="3"/>
  <c r="F89" i="3"/>
  <c r="F90" i="3"/>
  <c r="F91" i="3"/>
  <c r="F92" i="3"/>
  <c r="I92" i="3" s="1"/>
  <c r="F93" i="3"/>
  <c r="F94" i="3"/>
  <c r="F95" i="3"/>
  <c r="F96" i="3"/>
  <c r="F97" i="3"/>
  <c r="F98" i="3"/>
  <c r="F99" i="3"/>
  <c r="F100" i="3"/>
  <c r="I100" i="3" s="1"/>
  <c r="F101" i="3"/>
  <c r="F102" i="3"/>
  <c r="F103" i="3"/>
  <c r="F104" i="3"/>
  <c r="F105" i="3"/>
  <c r="F106" i="3"/>
  <c r="F107" i="3"/>
  <c r="F108" i="3"/>
  <c r="I108" i="3" s="1"/>
  <c r="F109" i="3"/>
  <c r="F110" i="3"/>
  <c r="F111" i="3"/>
  <c r="F112" i="3"/>
  <c r="F113" i="3"/>
  <c r="F114" i="3"/>
  <c r="F115" i="3"/>
  <c r="F116" i="3"/>
  <c r="I116" i="3" s="1"/>
  <c r="F117" i="3"/>
  <c r="F118" i="3"/>
  <c r="F119" i="3"/>
  <c r="F120" i="3"/>
  <c r="F121" i="3"/>
  <c r="F122" i="3"/>
  <c r="F123" i="3"/>
  <c r="F124" i="3"/>
  <c r="F125" i="3"/>
  <c r="F126" i="3"/>
  <c r="F127" i="3"/>
  <c r="F128" i="3"/>
  <c r="F129" i="3"/>
  <c r="F130" i="3"/>
  <c r="F131" i="3"/>
  <c r="F132" i="3"/>
  <c r="I132" i="3" s="1"/>
  <c r="J132" i="3" s="1"/>
  <c r="F133" i="3"/>
  <c r="F134" i="3"/>
  <c r="F135" i="3"/>
  <c r="F136" i="3"/>
  <c r="F137" i="3"/>
  <c r="F138" i="3"/>
  <c r="F139" i="3"/>
  <c r="F140" i="3"/>
  <c r="I140" i="3" s="1"/>
  <c r="F141" i="3"/>
  <c r="F142" i="3"/>
  <c r="F143" i="3"/>
  <c r="F144" i="3"/>
  <c r="F145" i="3"/>
  <c r="F146" i="3"/>
  <c r="F147" i="3"/>
  <c r="F3" i="3"/>
  <c r="D3" i="3"/>
  <c r="E3" i="3"/>
  <c r="G3" i="3"/>
  <c r="H3" i="3"/>
  <c r="H4" i="3"/>
  <c r="H5" i="3"/>
  <c r="H6" i="3"/>
  <c r="H7" i="3"/>
  <c r="H8" i="3"/>
  <c r="H9" i="3"/>
  <c r="H10" i="3"/>
  <c r="H11" i="3"/>
  <c r="H12" i="3"/>
  <c r="H13" i="3"/>
  <c r="H14" i="3"/>
  <c r="H15" i="3"/>
  <c r="I15" i="3" s="1"/>
  <c r="H16" i="3"/>
  <c r="H17" i="3"/>
  <c r="H18" i="3"/>
  <c r="H19" i="3"/>
  <c r="H20" i="3"/>
  <c r="H21" i="3"/>
  <c r="H22" i="3"/>
  <c r="H23" i="3"/>
  <c r="H24" i="3"/>
  <c r="H25" i="3"/>
  <c r="H26" i="3"/>
  <c r="H27" i="3"/>
  <c r="H28" i="3"/>
  <c r="H29" i="3"/>
  <c r="H30" i="3"/>
  <c r="H31" i="3"/>
  <c r="H32" i="3"/>
  <c r="H33" i="3"/>
  <c r="H34" i="3"/>
  <c r="H35" i="3"/>
  <c r="H36" i="3"/>
  <c r="H37" i="3"/>
  <c r="H38" i="3"/>
  <c r="H39" i="3"/>
  <c r="I39" i="3" s="1"/>
  <c r="H40" i="3"/>
  <c r="H41" i="3"/>
  <c r="H42" i="3"/>
  <c r="H43" i="3"/>
  <c r="H44" i="3"/>
  <c r="H45" i="3"/>
  <c r="H46" i="3"/>
  <c r="H47" i="3"/>
  <c r="I47" i="3" s="1"/>
  <c r="H48" i="3"/>
  <c r="H49" i="3"/>
  <c r="H50" i="3"/>
  <c r="H51" i="3"/>
  <c r="H52" i="3"/>
  <c r="H53" i="3"/>
  <c r="H54" i="3"/>
  <c r="H55" i="3"/>
  <c r="I55" i="3" s="1"/>
  <c r="H56" i="3"/>
  <c r="H57" i="3"/>
  <c r="H58" i="3"/>
  <c r="H59" i="3"/>
  <c r="H60" i="3"/>
  <c r="H61" i="3"/>
  <c r="H62" i="3"/>
  <c r="H63" i="3"/>
  <c r="H64" i="3"/>
  <c r="H65" i="3"/>
  <c r="H66" i="3"/>
  <c r="H67" i="3"/>
  <c r="H68" i="3"/>
  <c r="H69" i="3"/>
  <c r="H70" i="3"/>
  <c r="H71" i="3"/>
  <c r="H72" i="3"/>
  <c r="H73" i="3"/>
  <c r="H74" i="3"/>
  <c r="H75" i="3"/>
  <c r="H76" i="3"/>
  <c r="H77" i="3"/>
  <c r="H78" i="3"/>
  <c r="H79" i="3"/>
  <c r="I79" i="3" s="1"/>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W9" i="75"/>
  <c r="W12" i="75"/>
  <c r="AA12" i="75"/>
  <c r="W14" i="75"/>
  <c r="W17" i="75"/>
  <c r="W20" i="75"/>
  <c r="W21" i="75"/>
  <c r="W24" i="75"/>
  <c r="W25" i="75"/>
  <c r="W28" i="75"/>
  <c r="W29" i="75"/>
  <c r="W33" i="75"/>
  <c r="W35" i="75"/>
  <c r="W40" i="75"/>
  <c r="AA40" i="75"/>
  <c r="W56" i="75"/>
  <c r="W57" i="75"/>
  <c r="W66" i="75"/>
  <c r="AA66" i="75" s="1"/>
  <c r="W68" i="75"/>
  <c r="W72" i="75"/>
  <c r="W75" i="75"/>
  <c r="W77" i="75"/>
  <c r="W79" i="75"/>
  <c r="AA79" i="75" s="1"/>
  <c r="W80" i="75"/>
  <c r="W91" i="75"/>
  <c r="W92" i="75"/>
  <c r="W100" i="75"/>
  <c r="AA100" i="75"/>
  <c r="W107" i="75"/>
  <c r="W125" i="75"/>
  <c r="AA125" i="75"/>
  <c r="W126" i="75"/>
  <c r="W131" i="75"/>
  <c r="AA131" i="75" s="1"/>
  <c r="W132" i="75"/>
  <c r="AA132" i="75" s="1"/>
  <c r="W136" i="75"/>
  <c r="AA136" i="75"/>
  <c r="W138" i="75"/>
  <c r="W139" i="75"/>
  <c r="W141" i="75"/>
  <c r="W144" i="75"/>
  <c r="W147" i="75"/>
  <c r="W3" i="75"/>
  <c r="AA3" i="75" s="1"/>
  <c r="AF4" i="3"/>
  <c r="AF5" i="3"/>
  <c r="AD5" i="3"/>
  <c r="AF7" i="3"/>
  <c r="AD7" i="3"/>
  <c r="AF8" i="3"/>
  <c r="AF9" i="3"/>
  <c r="AD9" i="3"/>
  <c r="AF10" i="3"/>
  <c r="AD10" i="3"/>
  <c r="AG10" i="3"/>
  <c r="P28" i="5" s="1"/>
  <c r="AF11" i="3"/>
  <c r="AD11" i="3"/>
  <c r="AF12" i="3"/>
  <c r="AD12" i="3"/>
  <c r="AF13" i="3"/>
  <c r="AD13" i="3"/>
  <c r="AF14" i="3"/>
  <c r="AD14" i="3"/>
  <c r="AF15" i="3"/>
  <c r="AF16" i="3"/>
  <c r="AD16" i="3"/>
  <c r="AF17" i="3"/>
  <c r="AD17" i="3"/>
  <c r="AF18" i="3"/>
  <c r="AD18" i="3"/>
  <c r="AF19" i="3"/>
  <c r="AD19" i="3"/>
  <c r="AF20" i="3"/>
  <c r="AD20" i="3"/>
  <c r="AF21" i="3"/>
  <c r="AD21" i="3"/>
  <c r="AF22" i="3"/>
  <c r="AF23" i="3"/>
  <c r="AD23" i="3"/>
  <c r="AF24" i="3"/>
  <c r="AD24" i="3"/>
  <c r="AF25" i="3"/>
  <c r="AD25" i="3"/>
  <c r="AF26" i="3"/>
  <c r="AD26" i="3"/>
  <c r="AF27" i="3"/>
  <c r="AD27" i="3"/>
  <c r="AF28" i="3"/>
  <c r="AD28" i="3"/>
  <c r="AF29" i="3"/>
  <c r="AD29" i="3"/>
  <c r="AF30" i="3"/>
  <c r="AD30" i="3"/>
  <c r="AF31" i="3"/>
  <c r="AD31" i="3"/>
  <c r="AF32" i="3"/>
  <c r="AD32" i="3"/>
  <c r="AF33" i="3"/>
  <c r="AD33" i="3"/>
  <c r="AF34" i="3"/>
  <c r="AF35" i="3"/>
  <c r="AD35" i="3"/>
  <c r="AF36" i="3"/>
  <c r="AD36" i="3"/>
  <c r="AF37" i="3"/>
  <c r="AD37" i="3"/>
  <c r="AF38" i="3"/>
  <c r="AF39" i="3"/>
  <c r="AD39" i="3"/>
  <c r="AF40" i="3"/>
  <c r="AG40" i="3" s="1"/>
  <c r="P122" i="5" s="1"/>
  <c r="AD40" i="3"/>
  <c r="AF41" i="3"/>
  <c r="AD41" i="3"/>
  <c r="AF42" i="3"/>
  <c r="AD42" i="3"/>
  <c r="AF43" i="3"/>
  <c r="AD43" i="3"/>
  <c r="AF44" i="3"/>
  <c r="AG44" i="3"/>
  <c r="P81" i="5" s="1"/>
  <c r="AF45" i="3"/>
  <c r="AD45" i="3"/>
  <c r="AD46" i="3"/>
  <c r="AF47" i="3"/>
  <c r="AG47" i="3"/>
  <c r="P82" i="5" s="1"/>
  <c r="AF48" i="3"/>
  <c r="AD48" i="3"/>
  <c r="AF49" i="3"/>
  <c r="AD49" i="3"/>
  <c r="AF50" i="3"/>
  <c r="AD50" i="3"/>
  <c r="AF51" i="3"/>
  <c r="AG51" i="3"/>
  <c r="P104" i="5"/>
  <c r="AF52" i="3"/>
  <c r="AD52" i="3"/>
  <c r="AF53" i="3"/>
  <c r="AD54" i="3"/>
  <c r="AF55" i="3"/>
  <c r="AD55" i="3"/>
  <c r="AF56" i="3"/>
  <c r="AD56" i="3"/>
  <c r="AF57" i="3"/>
  <c r="AF58" i="3"/>
  <c r="AD58" i="3"/>
  <c r="AF59" i="3"/>
  <c r="AG59" i="3" s="1"/>
  <c r="AD59" i="3"/>
  <c r="AF60" i="3"/>
  <c r="AD60" i="3"/>
  <c r="AF61" i="3"/>
  <c r="AD61" i="3"/>
  <c r="AG61" i="3" s="1"/>
  <c r="AF62" i="3"/>
  <c r="AD62" i="3"/>
  <c r="AF63" i="3"/>
  <c r="AD63" i="3"/>
  <c r="AF64" i="3"/>
  <c r="AF65" i="3"/>
  <c r="AD65" i="3"/>
  <c r="AF66" i="3"/>
  <c r="AD66" i="3"/>
  <c r="AD67" i="3"/>
  <c r="AF68" i="3"/>
  <c r="AF69" i="3"/>
  <c r="AD69" i="3"/>
  <c r="AF70" i="3"/>
  <c r="AD70" i="3"/>
  <c r="AF71" i="3"/>
  <c r="AD71" i="3"/>
  <c r="AF72" i="3"/>
  <c r="AF73" i="3"/>
  <c r="AD73" i="3"/>
  <c r="AF74" i="3"/>
  <c r="AD74" i="3"/>
  <c r="AD75" i="3"/>
  <c r="AF76" i="3"/>
  <c r="AF77" i="3"/>
  <c r="AD77" i="3"/>
  <c r="AF78" i="3"/>
  <c r="AD78" i="3"/>
  <c r="AF79" i="3"/>
  <c r="AF80" i="3"/>
  <c r="AD80" i="3"/>
  <c r="AF81" i="3"/>
  <c r="AD81" i="3"/>
  <c r="AF82" i="3"/>
  <c r="AD82" i="3"/>
  <c r="AF84" i="3"/>
  <c r="AD84" i="3"/>
  <c r="AF85" i="3"/>
  <c r="AG85" i="3" s="1"/>
  <c r="P115" i="5" s="1"/>
  <c r="AF86" i="3"/>
  <c r="AD86" i="3"/>
  <c r="AF87" i="3"/>
  <c r="AD87" i="3"/>
  <c r="AF88" i="3"/>
  <c r="AD88" i="3"/>
  <c r="AF89" i="3"/>
  <c r="AD89" i="3"/>
  <c r="AF90" i="3"/>
  <c r="AD90" i="3"/>
  <c r="AD91" i="3"/>
  <c r="AF92" i="3"/>
  <c r="AD92" i="3"/>
  <c r="AF93" i="3"/>
  <c r="AD93" i="3"/>
  <c r="AF94" i="3"/>
  <c r="AD94" i="3"/>
  <c r="AF95" i="3"/>
  <c r="AD95" i="3"/>
  <c r="AF96" i="3"/>
  <c r="AD96" i="3"/>
  <c r="AF97" i="3"/>
  <c r="AD97" i="3"/>
  <c r="AF98" i="3"/>
  <c r="AG98" i="3" s="1"/>
  <c r="P134" i="5" s="1"/>
  <c r="AD98" i="3"/>
  <c r="AD99" i="3"/>
  <c r="AF100" i="3"/>
  <c r="AD100" i="3"/>
  <c r="AF101" i="3"/>
  <c r="AD101" i="3"/>
  <c r="AD102" i="3"/>
  <c r="AF103" i="3"/>
  <c r="AD103" i="3"/>
  <c r="AF104" i="3"/>
  <c r="AF105" i="3"/>
  <c r="AD105" i="3"/>
  <c r="AF106" i="3"/>
  <c r="AD106" i="3"/>
  <c r="AD107" i="3"/>
  <c r="AF108" i="3"/>
  <c r="AF109" i="3"/>
  <c r="AD109" i="3"/>
  <c r="AD110" i="3"/>
  <c r="AF111" i="3"/>
  <c r="AD111" i="3"/>
  <c r="AF112" i="3"/>
  <c r="AD112" i="3"/>
  <c r="AF113" i="3"/>
  <c r="AD113" i="3"/>
  <c r="AF114" i="3"/>
  <c r="AD114" i="3"/>
  <c r="AD115" i="3"/>
  <c r="AF116" i="3"/>
  <c r="AF117" i="3"/>
  <c r="AD117" i="3"/>
  <c r="AD118" i="3"/>
  <c r="AF119" i="3"/>
  <c r="AD119" i="3"/>
  <c r="AF120" i="3"/>
  <c r="AF121" i="3"/>
  <c r="AD121" i="3"/>
  <c r="AF122" i="3"/>
  <c r="AD122" i="3"/>
  <c r="AD123" i="3"/>
  <c r="AF124" i="3"/>
  <c r="AF125" i="3"/>
  <c r="AD125" i="3"/>
  <c r="AD126" i="3"/>
  <c r="AF127" i="3"/>
  <c r="AF128" i="3"/>
  <c r="AD128" i="3"/>
  <c r="AF129" i="3"/>
  <c r="AD129" i="3"/>
  <c r="AF130" i="3"/>
  <c r="AD130" i="3"/>
  <c r="AF131" i="3"/>
  <c r="AF132" i="3"/>
  <c r="AD132" i="3"/>
  <c r="AF133" i="3"/>
  <c r="AD133" i="3"/>
  <c r="AG133" i="3" s="1"/>
  <c r="P55" i="5"/>
  <c r="AD134" i="3"/>
  <c r="AF135" i="3"/>
  <c r="AD135" i="3"/>
  <c r="AF136" i="3"/>
  <c r="AD136" i="3"/>
  <c r="AF137" i="3"/>
  <c r="AD137" i="3"/>
  <c r="AF138" i="3"/>
  <c r="AG138" i="3" s="1"/>
  <c r="P101" i="5"/>
  <c r="AD139" i="3"/>
  <c r="AF140" i="3"/>
  <c r="AD140" i="3"/>
  <c r="AF141" i="3"/>
  <c r="AD141" i="3"/>
  <c r="AD142" i="3"/>
  <c r="AF143" i="3"/>
  <c r="AD143" i="3"/>
  <c r="AF144" i="3"/>
  <c r="AG144" i="3" s="1"/>
  <c r="P86" i="5" s="1"/>
  <c r="AD144" i="3"/>
  <c r="AF145" i="3"/>
  <c r="AD145" i="3"/>
  <c r="AF146" i="3"/>
  <c r="AD146" i="3"/>
  <c r="AF147" i="3"/>
  <c r="AF148" i="3"/>
  <c r="AD148" i="3"/>
  <c r="AF3" i="3"/>
  <c r="AD3" i="3"/>
  <c r="K4" i="3"/>
  <c r="L4" i="3"/>
  <c r="O4" i="3" s="1"/>
  <c r="K5" i="3"/>
  <c r="L5" i="3"/>
  <c r="K6" i="3"/>
  <c r="L6" i="3"/>
  <c r="K7" i="3"/>
  <c r="L7" i="3"/>
  <c r="K8" i="3"/>
  <c r="O8" i="3"/>
  <c r="L8" i="3"/>
  <c r="K9" i="3"/>
  <c r="L9" i="3"/>
  <c r="K10" i="3"/>
  <c r="L10" i="3"/>
  <c r="K11" i="3"/>
  <c r="O11" i="3"/>
  <c r="L11" i="3"/>
  <c r="K12" i="3"/>
  <c r="L12" i="3"/>
  <c r="K13" i="3"/>
  <c r="L13" i="3"/>
  <c r="K14" i="3"/>
  <c r="L14" i="3"/>
  <c r="K15" i="3"/>
  <c r="L15" i="3"/>
  <c r="O15" i="3"/>
  <c r="K16" i="3"/>
  <c r="O16" i="3"/>
  <c r="L16" i="3"/>
  <c r="K17" i="3"/>
  <c r="O17" i="3" s="1"/>
  <c r="L17" i="3"/>
  <c r="K18" i="3"/>
  <c r="O18" i="3"/>
  <c r="L18" i="3"/>
  <c r="K19" i="3"/>
  <c r="O19" i="3" s="1"/>
  <c r="L19" i="3"/>
  <c r="K20" i="3"/>
  <c r="O20" i="3" s="1"/>
  <c r="L20" i="3"/>
  <c r="K21" i="3"/>
  <c r="O21" i="3" s="1"/>
  <c r="L21" i="3"/>
  <c r="K22" i="3"/>
  <c r="L22" i="3"/>
  <c r="K23" i="3"/>
  <c r="O23" i="3" s="1"/>
  <c r="L23" i="3"/>
  <c r="K24" i="3"/>
  <c r="L24" i="3"/>
  <c r="K25" i="3"/>
  <c r="O25" i="3" s="1"/>
  <c r="L25" i="3"/>
  <c r="K26" i="3"/>
  <c r="O26" i="3" s="1"/>
  <c r="L26" i="3"/>
  <c r="K27" i="3"/>
  <c r="L27" i="3"/>
  <c r="K28" i="3"/>
  <c r="L28" i="3"/>
  <c r="K29" i="3"/>
  <c r="O29" i="3" s="1"/>
  <c r="L29" i="3"/>
  <c r="K30" i="3"/>
  <c r="O30" i="3" s="1"/>
  <c r="L30" i="3"/>
  <c r="K31" i="3"/>
  <c r="L31" i="3"/>
  <c r="O31" i="3" s="1"/>
  <c r="K32" i="3"/>
  <c r="L32" i="3"/>
  <c r="O32" i="3"/>
  <c r="K33" i="3"/>
  <c r="L33" i="3"/>
  <c r="K34" i="3"/>
  <c r="L34" i="3"/>
  <c r="K35" i="3"/>
  <c r="L35" i="3"/>
  <c r="O35" i="3"/>
  <c r="K36" i="3"/>
  <c r="L36" i="3"/>
  <c r="O36" i="3" s="1"/>
  <c r="K37" i="3"/>
  <c r="L37" i="3"/>
  <c r="K38" i="3"/>
  <c r="L38" i="3"/>
  <c r="K39" i="3"/>
  <c r="L39" i="3"/>
  <c r="O39" i="3"/>
  <c r="K40" i="3"/>
  <c r="O40" i="3" s="1"/>
  <c r="L40" i="3"/>
  <c r="K41" i="3"/>
  <c r="L41" i="3"/>
  <c r="K42" i="3"/>
  <c r="O42" i="3"/>
  <c r="L42" i="3"/>
  <c r="K43" i="3"/>
  <c r="O43" i="3" s="1"/>
  <c r="L43" i="3"/>
  <c r="K44" i="3"/>
  <c r="L44" i="3"/>
  <c r="K45" i="3"/>
  <c r="L45" i="3"/>
  <c r="O45" i="3"/>
  <c r="K46" i="3"/>
  <c r="L46" i="3"/>
  <c r="K47" i="3"/>
  <c r="L47" i="3"/>
  <c r="K48" i="3"/>
  <c r="L48" i="3"/>
  <c r="O48" i="3"/>
  <c r="K49" i="3"/>
  <c r="O49" i="3" s="1"/>
  <c r="L49" i="3"/>
  <c r="K50" i="3"/>
  <c r="O50" i="3" s="1"/>
  <c r="L50" i="3"/>
  <c r="K51" i="3"/>
  <c r="L51" i="3"/>
  <c r="O51" i="3"/>
  <c r="K52" i="3"/>
  <c r="L52" i="3"/>
  <c r="K53" i="3"/>
  <c r="O53" i="3" s="1"/>
  <c r="L53" i="3"/>
  <c r="K54" i="3"/>
  <c r="L54" i="3"/>
  <c r="K55" i="3"/>
  <c r="L55" i="3"/>
  <c r="K56" i="3"/>
  <c r="O56" i="3"/>
  <c r="L56" i="3"/>
  <c r="K57" i="3"/>
  <c r="L57" i="3"/>
  <c r="K58" i="3"/>
  <c r="L58" i="3"/>
  <c r="K59" i="3"/>
  <c r="L59" i="3"/>
  <c r="O59" i="3"/>
  <c r="K60" i="3"/>
  <c r="O60" i="3"/>
  <c r="L60" i="3"/>
  <c r="K61" i="3"/>
  <c r="O61" i="3"/>
  <c r="L61" i="3"/>
  <c r="K62" i="3"/>
  <c r="L62" i="3"/>
  <c r="K63" i="3"/>
  <c r="L63" i="3"/>
  <c r="O63" i="3" s="1"/>
  <c r="K64" i="3"/>
  <c r="O64" i="3"/>
  <c r="L64" i="3"/>
  <c r="K65" i="3"/>
  <c r="L65" i="3"/>
  <c r="O65" i="3" s="1"/>
  <c r="K66" i="3"/>
  <c r="O66" i="3" s="1"/>
  <c r="L66" i="3"/>
  <c r="K67" i="3"/>
  <c r="O67" i="3"/>
  <c r="L67" i="3"/>
  <c r="K68" i="3"/>
  <c r="O68" i="3" s="1"/>
  <c r="M95" i="5" s="1"/>
  <c r="L68" i="3"/>
  <c r="K69" i="3"/>
  <c r="O69" i="3" s="1"/>
  <c r="L69" i="3"/>
  <c r="K70" i="3"/>
  <c r="L70" i="3"/>
  <c r="K71" i="3"/>
  <c r="L71" i="3"/>
  <c r="O71" i="3" s="1"/>
  <c r="K72" i="3"/>
  <c r="O72" i="3"/>
  <c r="L72" i="3"/>
  <c r="K73" i="3"/>
  <c r="O73" i="3"/>
  <c r="L73" i="3"/>
  <c r="K74" i="3"/>
  <c r="O74" i="3" s="1"/>
  <c r="L74" i="3"/>
  <c r="K75" i="3"/>
  <c r="O75" i="3"/>
  <c r="L75" i="3"/>
  <c r="K76" i="3"/>
  <c r="L76" i="3"/>
  <c r="O76" i="3" s="1"/>
  <c r="K77" i="3"/>
  <c r="L77" i="3"/>
  <c r="K78" i="3"/>
  <c r="L78" i="3"/>
  <c r="K79" i="3"/>
  <c r="L79" i="3"/>
  <c r="O79" i="3"/>
  <c r="K80" i="3"/>
  <c r="O80" i="3"/>
  <c r="L80" i="3"/>
  <c r="K81" i="3"/>
  <c r="O81" i="3"/>
  <c r="L81" i="3"/>
  <c r="K82" i="3"/>
  <c r="O82" i="3"/>
  <c r="L82" i="3"/>
  <c r="K83" i="3"/>
  <c r="O83" i="3" s="1"/>
  <c r="L83" i="3"/>
  <c r="K84" i="3"/>
  <c r="O84" i="3" s="1"/>
  <c r="L84" i="3"/>
  <c r="K85" i="3"/>
  <c r="O85" i="3" s="1"/>
  <c r="L85" i="3"/>
  <c r="K86" i="3"/>
  <c r="L86" i="3"/>
  <c r="K87" i="3"/>
  <c r="O87" i="3" s="1"/>
  <c r="L87" i="3"/>
  <c r="K88" i="3"/>
  <c r="O88" i="3" s="1"/>
  <c r="L88" i="3"/>
  <c r="K89" i="3"/>
  <c r="L89" i="3"/>
  <c r="K90" i="3"/>
  <c r="L90" i="3"/>
  <c r="O90" i="3" s="1"/>
  <c r="K91" i="3"/>
  <c r="L91" i="3"/>
  <c r="K92" i="3"/>
  <c r="L92" i="3"/>
  <c r="O92" i="3" s="1"/>
  <c r="M11" i="5" s="1"/>
  <c r="K93" i="3"/>
  <c r="L93" i="3"/>
  <c r="O93" i="3" s="1"/>
  <c r="K94" i="3"/>
  <c r="O94" i="3" s="1"/>
  <c r="L94" i="3"/>
  <c r="K95" i="3"/>
  <c r="O95" i="3" s="1"/>
  <c r="L95" i="3"/>
  <c r="K96" i="3"/>
  <c r="O96" i="3" s="1"/>
  <c r="L96" i="3"/>
  <c r="K97" i="3"/>
  <c r="O97" i="3" s="1"/>
  <c r="L97" i="3"/>
  <c r="K98" i="3"/>
  <c r="O98" i="3" s="1"/>
  <c r="L98" i="3"/>
  <c r="K99" i="3"/>
  <c r="O99" i="3"/>
  <c r="L99" i="3"/>
  <c r="K100" i="3"/>
  <c r="O100" i="3"/>
  <c r="L100" i="3"/>
  <c r="K101" i="3"/>
  <c r="L101" i="3"/>
  <c r="O101" i="3" s="1"/>
  <c r="K102" i="3"/>
  <c r="L102" i="3"/>
  <c r="K103" i="3"/>
  <c r="L103" i="3"/>
  <c r="O103" i="3" s="1"/>
  <c r="M148" i="5" s="1"/>
  <c r="K104" i="3"/>
  <c r="L104" i="3"/>
  <c r="O104" i="3" s="1"/>
  <c r="K105" i="3"/>
  <c r="O105" i="3" s="1"/>
  <c r="L105" i="3"/>
  <c r="K106" i="3"/>
  <c r="L106" i="3"/>
  <c r="K107" i="3"/>
  <c r="O107" i="3"/>
  <c r="L107" i="3"/>
  <c r="K108" i="3"/>
  <c r="O108" i="3" s="1"/>
  <c r="L108" i="3"/>
  <c r="K109" i="3"/>
  <c r="O109" i="3"/>
  <c r="L109" i="3"/>
  <c r="K110" i="3"/>
  <c r="L110" i="3"/>
  <c r="K111" i="3"/>
  <c r="L111" i="3"/>
  <c r="K112" i="3"/>
  <c r="L112" i="3"/>
  <c r="K113" i="3"/>
  <c r="L113" i="3"/>
  <c r="O113" i="3" s="1"/>
  <c r="K114" i="3"/>
  <c r="O114" i="3" s="1"/>
  <c r="L114" i="3"/>
  <c r="K115" i="3"/>
  <c r="L115" i="3"/>
  <c r="K116" i="3"/>
  <c r="L116" i="3"/>
  <c r="O116" i="3"/>
  <c r="K117" i="3"/>
  <c r="O117" i="3" s="1"/>
  <c r="L117" i="3"/>
  <c r="K118" i="3"/>
  <c r="L118" i="3"/>
  <c r="K119" i="3"/>
  <c r="L119" i="3"/>
  <c r="O119" i="3"/>
  <c r="K120" i="3"/>
  <c r="O120" i="3" s="1"/>
  <c r="L120" i="3"/>
  <c r="K121" i="3"/>
  <c r="L121" i="3"/>
  <c r="K122" i="3"/>
  <c r="L122" i="3"/>
  <c r="O122" i="3" s="1"/>
  <c r="K123" i="3"/>
  <c r="L123" i="3"/>
  <c r="K124" i="3"/>
  <c r="L124" i="3"/>
  <c r="O124" i="3"/>
  <c r="K125" i="3"/>
  <c r="O125" i="3"/>
  <c r="L125" i="3"/>
  <c r="K126" i="3"/>
  <c r="O126" i="3"/>
  <c r="L126" i="3"/>
  <c r="K127" i="3"/>
  <c r="L127" i="3"/>
  <c r="O127" i="3" s="1"/>
  <c r="K128" i="3"/>
  <c r="O128" i="3" s="1"/>
  <c r="L128" i="3"/>
  <c r="K129" i="3"/>
  <c r="O129" i="3" s="1"/>
  <c r="L129" i="3"/>
  <c r="K130" i="3"/>
  <c r="O130" i="3" s="1"/>
  <c r="L130" i="3"/>
  <c r="K131" i="3"/>
  <c r="L131" i="3"/>
  <c r="K132" i="3"/>
  <c r="O132" i="3" s="1"/>
  <c r="L132" i="3"/>
  <c r="K133" i="3"/>
  <c r="L133" i="3"/>
  <c r="O133" i="3" s="1"/>
  <c r="K134" i="3"/>
  <c r="O134" i="3" s="1"/>
  <c r="L134" i="3"/>
  <c r="K135" i="3"/>
  <c r="L135" i="3"/>
  <c r="O135" i="3"/>
  <c r="K136" i="3"/>
  <c r="L136" i="3"/>
  <c r="K137" i="3"/>
  <c r="L137" i="3"/>
  <c r="K138" i="3"/>
  <c r="L138" i="3"/>
  <c r="O138" i="3"/>
  <c r="K139" i="3"/>
  <c r="L139" i="3"/>
  <c r="O139" i="3"/>
  <c r="K140" i="3"/>
  <c r="O140" i="3"/>
  <c r="L140" i="3"/>
  <c r="K141" i="3"/>
  <c r="L141" i="3"/>
  <c r="O141" i="3" s="1"/>
  <c r="K142" i="3"/>
  <c r="L142" i="3"/>
  <c r="K143" i="3"/>
  <c r="L143" i="3"/>
  <c r="K144" i="3"/>
  <c r="L144" i="3"/>
  <c r="K145" i="3"/>
  <c r="O145" i="3" s="1"/>
  <c r="L145" i="3"/>
  <c r="K146" i="3"/>
  <c r="L146" i="3"/>
  <c r="K147" i="3"/>
  <c r="O147" i="3"/>
  <c r="L147" i="3"/>
  <c r="K148" i="3"/>
  <c r="L148" i="3"/>
  <c r="K3" i="3"/>
  <c r="L3" i="3"/>
  <c r="O3" i="3"/>
  <c r="D4" i="3"/>
  <c r="E4" i="3"/>
  <c r="D5" i="3"/>
  <c r="J5" i="3" s="1"/>
  <c r="E5" i="3"/>
  <c r="D6" i="3"/>
  <c r="J6" i="3" s="1"/>
  <c r="E6" i="3"/>
  <c r="D7" i="3"/>
  <c r="E7" i="3"/>
  <c r="D8" i="3"/>
  <c r="J8" i="3" s="1"/>
  <c r="E8" i="3"/>
  <c r="D9" i="3"/>
  <c r="J9" i="3" s="1"/>
  <c r="E9" i="3"/>
  <c r="D10" i="3"/>
  <c r="J10" i="3" s="1"/>
  <c r="E10" i="3"/>
  <c r="D11" i="3"/>
  <c r="E11" i="3"/>
  <c r="J11" i="3" s="1"/>
  <c r="D12" i="3"/>
  <c r="E12" i="3"/>
  <c r="D13" i="3"/>
  <c r="J13" i="3" s="1"/>
  <c r="E13" i="3"/>
  <c r="D14" i="3"/>
  <c r="J14" i="3" s="1"/>
  <c r="E14" i="3"/>
  <c r="D15" i="3"/>
  <c r="E15" i="3"/>
  <c r="D16" i="3"/>
  <c r="J16" i="3" s="1"/>
  <c r="E16" i="3"/>
  <c r="D17" i="3"/>
  <c r="J17" i="3" s="1"/>
  <c r="E17" i="3"/>
  <c r="D18" i="3"/>
  <c r="J18" i="3" s="1"/>
  <c r="E18" i="3"/>
  <c r="D19" i="3"/>
  <c r="E19" i="3"/>
  <c r="J19" i="3" s="1"/>
  <c r="D20" i="3"/>
  <c r="E20" i="3"/>
  <c r="D21" i="3"/>
  <c r="J21" i="3" s="1"/>
  <c r="E21" i="3"/>
  <c r="D22" i="3"/>
  <c r="J22" i="3" s="1"/>
  <c r="E22" i="3"/>
  <c r="D23" i="3"/>
  <c r="E23" i="3"/>
  <c r="D24" i="3"/>
  <c r="J24" i="3" s="1"/>
  <c r="E24" i="3"/>
  <c r="D25" i="3"/>
  <c r="J25" i="3" s="1"/>
  <c r="E25" i="3"/>
  <c r="D26" i="3"/>
  <c r="E26" i="3"/>
  <c r="D27" i="3"/>
  <c r="E27" i="3"/>
  <c r="D28" i="3"/>
  <c r="E28" i="3"/>
  <c r="D29" i="3"/>
  <c r="E29" i="3"/>
  <c r="D30" i="3"/>
  <c r="J30" i="3" s="1"/>
  <c r="E30" i="3"/>
  <c r="D31" i="3"/>
  <c r="E31" i="3"/>
  <c r="D32" i="3"/>
  <c r="E32" i="3"/>
  <c r="D33" i="3"/>
  <c r="J33" i="3" s="1"/>
  <c r="E33" i="3"/>
  <c r="D34" i="3"/>
  <c r="J34" i="3" s="1"/>
  <c r="E34" i="3"/>
  <c r="D35" i="3"/>
  <c r="E35" i="3"/>
  <c r="D36" i="3"/>
  <c r="E36" i="3"/>
  <c r="D37" i="3"/>
  <c r="J37" i="3" s="1"/>
  <c r="E37" i="3"/>
  <c r="D38" i="3"/>
  <c r="J38" i="3" s="1"/>
  <c r="E38" i="3"/>
  <c r="D39" i="3"/>
  <c r="E39" i="3"/>
  <c r="D40" i="3"/>
  <c r="E40" i="3"/>
  <c r="D41" i="3"/>
  <c r="J41" i="3" s="1"/>
  <c r="E41" i="3"/>
  <c r="D42" i="3"/>
  <c r="J42" i="3" s="1"/>
  <c r="E42" i="3"/>
  <c r="D43" i="3"/>
  <c r="E43" i="3"/>
  <c r="D44" i="3"/>
  <c r="E44" i="3"/>
  <c r="D45" i="3"/>
  <c r="J45" i="3" s="1"/>
  <c r="E45" i="3"/>
  <c r="D46" i="3"/>
  <c r="J46" i="3" s="1"/>
  <c r="E46" i="3"/>
  <c r="D47" i="3"/>
  <c r="E47" i="3"/>
  <c r="D48" i="3"/>
  <c r="E48" i="3"/>
  <c r="D49" i="3"/>
  <c r="J49" i="3" s="1"/>
  <c r="E49" i="3"/>
  <c r="D50" i="3"/>
  <c r="J50" i="3" s="1"/>
  <c r="E50" i="3"/>
  <c r="D51" i="3"/>
  <c r="E51" i="3"/>
  <c r="D52" i="3"/>
  <c r="E52" i="3"/>
  <c r="D53" i="3"/>
  <c r="J53" i="3" s="1"/>
  <c r="E53" i="3"/>
  <c r="D54" i="3"/>
  <c r="J54" i="3" s="1"/>
  <c r="E54" i="3"/>
  <c r="D55" i="3"/>
  <c r="E55" i="3"/>
  <c r="D56" i="3"/>
  <c r="E56" i="3"/>
  <c r="D57" i="3"/>
  <c r="J57" i="3" s="1"/>
  <c r="E57" i="3"/>
  <c r="D58" i="3"/>
  <c r="J58" i="3" s="1"/>
  <c r="E58" i="3"/>
  <c r="D59" i="3"/>
  <c r="E59" i="3"/>
  <c r="D60" i="3"/>
  <c r="E60" i="3"/>
  <c r="D61" i="3"/>
  <c r="J61" i="3" s="1"/>
  <c r="E61" i="3"/>
  <c r="D62" i="3"/>
  <c r="J62" i="3" s="1"/>
  <c r="E62" i="3"/>
  <c r="D63" i="3"/>
  <c r="E63" i="3"/>
  <c r="D64" i="3"/>
  <c r="E64" i="3"/>
  <c r="D65" i="3"/>
  <c r="J65" i="3" s="1"/>
  <c r="E65" i="3"/>
  <c r="D66" i="3"/>
  <c r="J66" i="3" s="1"/>
  <c r="E66" i="3"/>
  <c r="D67" i="3"/>
  <c r="E67" i="3"/>
  <c r="D68" i="3"/>
  <c r="E68" i="3"/>
  <c r="D69" i="3"/>
  <c r="J69" i="3" s="1"/>
  <c r="E69" i="3"/>
  <c r="D70" i="3"/>
  <c r="J70" i="3" s="1"/>
  <c r="E70" i="3"/>
  <c r="D71" i="3"/>
  <c r="E71" i="3"/>
  <c r="D72" i="3"/>
  <c r="E72" i="3"/>
  <c r="D73" i="3"/>
  <c r="J73" i="3" s="1"/>
  <c r="E73" i="3"/>
  <c r="D74" i="3"/>
  <c r="J74" i="3" s="1"/>
  <c r="E74" i="3"/>
  <c r="D75" i="3"/>
  <c r="E75" i="3"/>
  <c r="D76" i="3"/>
  <c r="E76" i="3"/>
  <c r="D77" i="3"/>
  <c r="J77" i="3" s="1"/>
  <c r="E77" i="3"/>
  <c r="D78" i="3"/>
  <c r="J78" i="3" s="1"/>
  <c r="E78" i="3"/>
  <c r="D79" i="3"/>
  <c r="E79" i="3"/>
  <c r="D80" i="3"/>
  <c r="E80" i="3"/>
  <c r="D81" i="3"/>
  <c r="J81" i="3" s="1"/>
  <c r="E81" i="3"/>
  <c r="D82" i="3"/>
  <c r="J82" i="3" s="1"/>
  <c r="E82" i="3"/>
  <c r="D83" i="3"/>
  <c r="E83" i="3"/>
  <c r="D84" i="3"/>
  <c r="E84" i="3"/>
  <c r="D85" i="3"/>
  <c r="J85" i="3" s="1"/>
  <c r="E85" i="3"/>
  <c r="D86" i="3"/>
  <c r="J86" i="3" s="1"/>
  <c r="E86" i="3"/>
  <c r="D87" i="3"/>
  <c r="E87" i="3"/>
  <c r="D88" i="3"/>
  <c r="E88" i="3"/>
  <c r="D89" i="3"/>
  <c r="J89" i="3" s="1"/>
  <c r="E89" i="3"/>
  <c r="D90" i="3"/>
  <c r="J90" i="3" s="1"/>
  <c r="E90" i="3"/>
  <c r="D91" i="3"/>
  <c r="E91" i="3"/>
  <c r="D92" i="3"/>
  <c r="E92" i="3"/>
  <c r="D93" i="3"/>
  <c r="J93" i="3" s="1"/>
  <c r="E93" i="3"/>
  <c r="D94" i="3"/>
  <c r="J94" i="3" s="1"/>
  <c r="E94" i="3"/>
  <c r="D95" i="3"/>
  <c r="E95" i="3"/>
  <c r="D96" i="3"/>
  <c r="E96" i="3"/>
  <c r="D97" i="3"/>
  <c r="J97" i="3" s="1"/>
  <c r="E97" i="3"/>
  <c r="D98" i="3"/>
  <c r="J98" i="3" s="1"/>
  <c r="E98" i="3"/>
  <c r="D99" i="3"/>
  <c r="E99" i="3"/>
  <c r="D100" i="3"/>
  <c r="E100" i="3"/>
  <c r="D101" i="3"/>
  <c r="J101" i="3" s="1"/>
  <c r="E101" i="3"/>
  <c r="D102" i="3"/>
  <c r="J102" i="3" s="1"/>
  <c r="E102" i="3"/>
  <c r="D103" i="3"/>
  <c r="E103" i="3"/>
  <c r="D104" i="3"/>
  <c r="E104" i="3"/>
  <c r="D105" i="3"/>
  <c r="J105" i="3" s="1"/>
  <c r="E105" i="3"/>
  <c r="D106" i="3"/>
  <c r="J106" i="3" s="1"/>
  <c r="E106" i="3"/>
  <c r="D107" i="3"/>
  <c r="E107" i="3"/>
  <c r="D108" i="3"/>
  <c r="E108" i="3"/>
  <c r="D109" i="3"/>
  <c r="J109" i="3" s="1"/>
  <c r="E109" i="3"/>
  <c r="D110" i="3"/>
  <c r="J110" i="3" s="1"/>
  <c r="E110" i="3"/>
  <c r="D111" i="3"/>
  <c r="E111" i="3"/>
  <c r="D112" i="3"/>
  <c r="E112" i="3"/>
  <c r="D113" i="3"/>
  <c r="E113" i="3"/>
  <c r="D114" i="3"/>
  <c r="E114" i="3"/>
  <c r="D115" i="3"/>
  <c r="E115" i="3"/>
  <c r="J115" i="3" s="1"/>
  <c r="L135" i="5" s="1"/>
  <c r="D116" i="3"/>
  <c r="E116" i="3"/>
  <c r="D117" i="3"/>
  <c r="E117" i="3"/>
  <c r="D118" i="3"/>
  <c r="J118" i="3" s="1"/>
  <c r="L139" i="5" s="1"/>
  <c r="E118" i="3"/>
  <c r="D119" i="3"/>
  <c r="E119" i="3"/>
  <c r="J119" i="3" s="1"/>
  <c r="D121" i="3"/>
  <c r="E121" i="3"/>
  <c r="D122" i="3"/>
  <c r="E122" i="3"/>
  <c r="D123" i="3"/>
  <c r="J123" i="3" s="1"/>
  <c r="E123" i="3"/>
  <c r="G124" i="3"/>
  <c r="I124" i="3"/>
  <c r="D124" i="3"/>
  <c r="E124" i="3"/>
  <c r="G125" i="3"/>
  <c r="I125" i="3" s="1"/>
  <c r="D125" i="3"/>
  <c r="E125" i="3"/>
  <c r="D126" i="3"/>
  <c r="E126" i="3"/>
  <c r="D127" i="3"/>
  <c r="E127" i="3"/>
  <c r="D128" i="3"/>
  <c r="E128" i="3"/>
  <c r="D129" i="3"/>
  <c r="E129" i="3"/>
  <c r="D130" i="3"/>
  <c r="E130" i="3"/>
  <c r="D131" i="3"/>
  <c r="E131" i="3"/>
  <c r="D132" i="3"/>
  <c r="E132" i="3"/>
  <c r="D133" i="3"/>
  <c r="E133" i="3"/>
  <c r="J133" i="3" s="1"/>
  <c r="D134" i="3"/>
  <c r="J134" i="3" s="1"/>
  <c r="L59" i="5" s="1"/>
  <c r="E134" i="3"/>
  <c r="D135" i="3"/>
  <c r="E135" i="3"/>
  <c r="D136" i="3"/>
  <c r="E136" i="3"/>
  <c r="D137" i="3"/>
  <c r="E137" i="3"/>
  <c r="J137" i="3" s="1"/>
  <c r="D138" i="3"/>
  <c r="E138" i="3"/>
  <c r="D139" i="3"/>
  <c r="J139" i="3" s="1"/>
  <c r="E139" i="3"/>
  <c r="D140" i="3"/>
  <c r="J140" i="3" s="1"/>
  <c r="E140" i="3"/>
  <c r="D141" i="3"/>
  <c r="E141" i="3"/>
  <c r="D142" i="3"/>
  <c r="E142" i="3"/>
  <c r="D143" i="3"/>
  <c r="J143" i="3" s="1"/>
  <c r="E143" i="3"/>
  <c r="D144" i="3"/>
  <c r="J144" i="3" s="1"/>
  <c r="E144" i="3"/>
  <c r="D145" i="3"/>
  <c r="E145" i="3"/>
  <c r="D146" i="3"/>
  <c r="E146" i="3"/>
  <c r="D147" i="3"/>
  <c r="J147" i="3" s="1"/>
  <c r="E147" i="3"/>
  <c r="D148" i="3"/>
  <c r="J148" i="3" s="1"/>
  <c r="E148" i="3"/>
  <c r="G4" i="3"/>
  <c r="I4" i="3"/>
  <c r="G5" i="3"/>
  <c r="I5" i="3"/>
  <c r="G6" i="3"/>
  <c r="I6" i="3"/>
  <c r="G7" i="3"/>
  <c r="I7" i="3" s="1"/>
  <c r="G8" i="3"/>
  <c r="G9" i="3"/>
  <c r="I9" i="3"/>
  <c r="G10" i="3"/>
  <c r="I10" i="3" s="1"/>
  <c r="G11" i="3"/>
  <c r="I11" i="3" s="1"/>
  <c r="G12" i="3"/>
  <c r="I12" i="3"/>
  <c r="G13" i="3"/>
  <c r="I13" i="3"/>
  <c r="G14" i="3"/>
  <c r="G15" i="3"/>
  <c r="G16" i="3"/>
  <c r="G17" i="3"/>
  <c r="I17" i="3"/>
  <c r="G18" i="3"/>
  <c r="I18" i="3"/>
  <c r="G19" i="3"/>
  <c r="I19" i="3"/>
  <c r="G20" i="3"/>
  <c r="G21" i="3"/>
  <c r="I21" i="3" s="1"/>
  <c r="G22" i="3"/>
  <c r="I22" i="3" s="1"/>
  <c r="G23" i="3"/>
  <c r="I23" i="3"/>
  <c r="G24" i="3"/>
  <c r="G25" i="3"/>
  <c r="I25" i="3"/>
  <c r="G26" i="3"/>
  <c r="I26" i="3" s="1"/>
  <c r="G27" i="3"/>
  <c r="I27" i="3" s="1"/>
  <c r="G28" i="3"/>
  <c r="G29" i="3"/>
  <c r="I29" i="3"/>
  <c r="J29" i="3"/>
  <c r="G30" i="3"/>
  <c r="I30" i="3"/>
  <c r="G31" i="3"/>
  <c r="I31" i="3" s="1"/>
  <c r="G32" i="3"/>
  <c r="G33" i="3"/>
  <c r="I33" i="3"/>
  <c r="G34" i="3"/>
  <c r="I34" i="3"/>
  <c r="G35" i="3"/>
  <c r="I35" i="3" s="1"/>
  <c r="G36" i="3"/>
  <c r="G37" i="3"/>
  <c r="I37" i="3" s="1"/>
  <c r="G38" i="3"/>
  <c r="I38" i="3"/>
  <c r="G39" i="3"/>
  <c r="G40" i="3"/>
  <c r="G41" i="3"/>
  <c r="I41" i="3"/>
  <c r="G42" i="3"/>
  <c r="I42" i="3" s="1"/>
  <c r="G43" i="3"/>
  <c r="I43" i="3"/>
  <c r="G44" i="3"/>
  <c r="I44" i="3"/>
  <c r="G45" i="3"/>
  <c r="I45" i="3"/>
  <c r="G46" i="3"/>
  <c r="G47" i="3"/>
  <c r="G48" i="3"/>
  <c r="G49" i="3"/>
  <c r="G50" i="3"/>
  <c r="I50" i="3" s="1"/>
  <c r="G51" i="3"/>
  <c r="I51" i="3"/>
  <c r="G52" i="3"/>
  <c r="G53" i="3"/>
  <c r="I53" i="3" s="1"/>
  <c r="G54" i="3"/>
  <c r="I54" i="3"/>
  <c r="G55" i="3"/>
  <c r="G56" i="3"/>
  <c r="G57" i="3"/>
  <c r="I57" i="3"/>
  <c r="G58" i="3"/>
  <c r="I58" i="3"/>
  <c r="G59" i="3"/>
  <c r="I59" i="3" s="1"/>
  <c r="G60" i="3"/>
  <c r="G61" i="3"/>
  <c r="I61" i="3" s="1"/>
  <c r="G62" i="3"/>
  <c r="I62" i="3"/>
  <c r="G63" i="3"/>
  <c r="G64" i="3"/>
  <c r="G65" i="3"/>
  <c r="I65" i="3" s="1"/>
  <c r="G66" i="3"/>
  <c r="I66" i="3" s="1"/>
  <c r="G67" i="3"/>
  <c r="I67" i="3"/>
  <c r="G68" i="3"/>
  <c r="G69" i="3"/>
  <c r="I69" i="3" s="1"/>
  <c r="G70" i="3"/>
  <c r="G71" i="3"/>
  <c r="I71" i="3" s="1"/>
  <c r="G72" i="3"/>
  <c r="G73" i="3"/>
  <c r="I73" i="3" s="1"/>
  <c r="G74" i="3"/>
  <c r="I74" i="3" s="1"/>
  <c r="G75" i="3"/>
  <c r="I75" i="3"/>
  <c r="G76" i="3"/>
  <c r="G77" i="3"/>
  <c r="I77" i="3"/>
  <c r="G78" i="3"/>
  <c r="I78" i="3"/>
  <c r="G79" i="3"/>
  <c r="G80" i="3"/>
  <c r="G81" i="3"/>
  <c r="I81" i="3"/>
  <c r="G82" i="3"/>
  <c r="I82" i="3" s="1"/>
  <c r="G83" i="3"/>
  <c r="I83" i="3" s="1"/>
  <c r="G84" i="3"/>
  <c r="G85" i="3"/>
  <c r="I85" i="3"/>
  <c r="G86" i="3"/>
  <c r="I86" i="3"/>
  <c r="G87" i="3"/>
  <c r="G88" i="3"/>
  <c r="G89" i="3"/>
  <c r="G90" i="3"/>
  <c r="I90" i="3"/>
  <c r="G91" i="3"/>
  <c r="I91" i="3"/>
  <c r="G92" i="3"/>
  <c r="G93" i="3"/>
  <c r="I93" i="3" s="1"/>
  <c r="G94" i="3"/>
  <c r="I94" i="3" s="1"/>
  <c r="G95" i="3"/>
  <c r="I95" i="3" s="1"/>
  <c r="G96" i="3"/>
  <c r="G97" i="3"/>
  <c r="I97" i="3" s="1"/>
  <c r="G98" i="3"/>
  <c r="I98" i="3"/>
  <c r="G99" i="3"/>
  <c r="I99" i="3"/>
  <c r="G100" i="3"/>
  <c r="G101" i="3"/>
  <c r="I101" i="3"/>
  <c r="G102" i="3"/>
  <c r="I102" i="3"/>
  <c r="G103" i="3"/>
  <c r="I103" i="3" s="1"/>
  <c r="G104" i="3"/>
  <c r="G105" i="3"/>
  <c r="I105" i="3"/>
  <c r="G106" i="3"/>
  <c r="I106" i="3" s="1"/>
  <c r="G107" i="3"/>
  <c r="I107" i="3"/>
  <c r="G108" i="3"/>
  <c r="G109" i="3"/>
  <c r="I109" i="3"/>
  <c r="G110" i="3"/>
  <c r="G111" i="3"/>
  <c r="I111" i="3" s="1"/>
  <c r="G112" i="3"/>
  <c r="G113" i="3"/>
  <c r="G114" i="3"/>
  <c r="I114" i="3"/>
  <c r="J114" i="3"/>
  <c r="G115" i="3"/>
  <c r="I115" i="3"/>
  <c r="G116" i="3"/>
  <c r="J116" i="3"/>
  <c r="G117" i="3"/>
  <c r="I117" i="3"/>
  <c r="J117" i="3"/>
  <c r="P117" i="3" s="1"/>
  <c r="G118" i="3"/>
  <c r="I118" i="3"/>
  <c r="G119" i="3"/>
  <c r="I119" i="3"/>
  <c r="G120" i="3"/>
  <c r="G121" i="3"/>
  <c r="I121" i="3" s="1"/>
  <c r="G122" i="3"/>
  <c r="I122" i="3" s="1"/>
  <c r="J122" i="3" s="1"/>
  <c r="L63" i="5" s="1"/>
  <c r="G123" i="3"/>
  <c r="I123" i="3"/>
  <c r="G126" i="3"/>
  <c r="I126" i="3" s="1"/>
  <c r="J126" i="3" s="1"/>
  <c r="G127" i="3"/>
  <c r="G128" i="3"/>
  <c r="G129" i="3"/>
  <c r="I129" i="3"/>
  <c r="J129" i="3"/>
  <c r="G130" i="3"/>
  <c r="I130" i="3"/>
  <c r="G131" i="3"/>
  <c r="I131" i="3" s="1"/>
  <c r="G132" i="3"/>
  <c r="G133" i="3"/>
  <c r="I133" i="3"/>
  <c r="G134" i="3"/>
  <c r="I134" i="3"/>
  <c r="G135" i="3"/>
  <c r="I135" i="3" s="1"/>
  <c r="J135" i="3" s="1"/>
  <c r="G136" i="3"/>
  <c r="G137" i="3"/>
  <c r="I137" i="3"/>
  <c r="G138" i="3"/>
  <c r="I138" i="3"/>
  <c r="G139" i="3"/>
  <c r="I139" i="3" s="1"/>
  <c r="G140" i="3"/>
  <c r="G141" i="3"/>
  <c r="I141" i="3"/>
  <c r="G142" i="3"/>
  <c r="G143" i="3"/>
  <c r="I143" i="3"/>
  <c r="G144" i="3"/>
  <c r="G145" i="3"/>
  <c r="I145" i="3" s="1"/>
  <c r="G146" i="3"/>
  <c r="I146" i="3"/>
  <c r="G147" i="3"/>
  <c r="I147" i="3"/>
  <c r="G148" i="3"/>
  <c r="I148" i="3" s="1"/>
  <c r="D4" i="4"/>
  <c r="E4" i="4"/>
  <c r="F4" i="4" s="1"/>
  <c r="S34" i="5" s="1"/>
  <c r="G4" i="4"/>
  <c r="H4" i="4"/>
  <c r="I4" i="4"/>
  <c r="K4" i="4"/>
  <c r="L4" i="4"/>
  <c r="D5" i="4"/>
  <c r="E5" i="4" s="1"/>
  <c r="F5" i="4" s="1"/>
  <c r="S32" i="5" s="1"/>
  <c r="G5" i="4"/>
  <c r="H5" i="4"/>
  <c r="R5" i="4"/>
  <c r="K5" i="4"/>
  <c r="M5" i="4" s="1"/>
  <c r="V32" i="5" s="1"/>
  <c r="L5" i="4"/>
  <c r="D6" i="4"/>
  <c r="E6" i="4" s="1"/>
  <c r="F6" i="4" s="1"/>
  <c r="S30" i="5" s="1"/>
  <c r="G6" i="4"/>
  <c r="H6" i="4"/>
  <c r="R6" i="4"/>
  <c r="K6" i="4"/>
  <c r="L6" i="4"/>
  <c r="D7" i="4"/>
  <c r="E7" i="4" s="1"/>
  <c r="F7" i="4" s="1"/>
  <c r="S14" i="5"/>
  <c r="G7" i="4"/>
  <c r="H7" i="4"/>
  <c r="R7" i="4"/>
  <c r="K7" i="4"/>
  <c r="L7" i="4"/>
  <c r="D8" i="4"/>
  <c r="E8" i="4"/>
  <c r="F8" i="4" s="1"/>
  <c r="S33" i="5" s="1"/>
  <c r="G8" i="4"/>
  <c r="H8" i="4"/>
  <c r="R8" i="4"/>
  <c r="K8" i="4"/>
  <c r="L8" i="4"/>
  <c r="D9" i="4"/>
  <c r="E9" i="4"/>
  <c r="F9" i="4" s="1"/>
  <c r="S27" i="5" s="1"/>
  <c r="G9" i="4"/>
  <c r="H9" i="4"/>
  <c r="R9" i="4"/>
  <c r="K9" i="4"/>
  <c r="L9" i="4"/>
  <c r="D10" i="4"/>
  <c r="E10" i="4" s="1"/>
  <c r="F10" i="4"/>
  <c r="G10" i="4"/>
  <c r="H10" i="4"/>
  <c r="I10" i="4"/>
  <c r="T28" i="5" s="1"/>
  <c r="K10" i="4"/>
  <c r="M10" i="4" s="1"/>
  <c r="V28" i="5" s="1"/>
  <c r="L10" i="4"/>
  <c r="D11" i="4"/>
  <c r="E11" i="4" s="1"/>
  <c r="F11" i="4" s="1"/>
  <c r="S24" i="5" s="1"/>
  <c r="G11" i="4"/>
  <c r="I11" i="4" s="1"/>
  <c r="T24" i="5" s="1"/>
  <c r="H11" i="4"/>
  <c r="R11" i="4"/>
  <c r="K11" i="4"/>
  <c r="L11" i="4"/>
  <c r="D12" i="4"/>
  <c r="E12" i="4"/>
  <c r="F12" i="4"/>
  <c r="S25" i="5" s="1"/>
  <c r="G12" i="4"/>
  <c r="H12" i="4"/>
  <c r="R12" i="4"/>
  <c r="K12" i="4"/>
  <c r="L12" i="4"/>
  <c r="D13" i="4"/>
  <c r="E13" i="4" s="1"/>
  <c r="F13" i="4"/>
  <c r="S16" i="5"/>
  <c r="G13" i="4"/>
  <c r="H13" i="4"/>
  <c r="R13" i="4"/>
  <c r="K13" i="4"/>
  <c r="L13" i="4"/>
  <c r="D14" i="4"/>
  <c r="E14" i="4" s="1"/>
  <c r="F14" i="4"/>
  <c r="S15" i="5" s="1"/>
  <c r="G14" i="4"/>
  <c r="H14" i="4"/>
  <c r="R14" i="4"/>
  <c r="K14" i="4"/>
  <c r="L14" i="4"/>
  <c r="D15" i="4"/>
  <c r="E15" i="4"/>
  <c r="F15" i="4" s="1"/>
  <c r="S26" i="5" s="1"/>
  <c r="G15" i="4"/>
  <c r="H15" i="4"/>
  <c r="R15" i="4"/>
  <c r="K15" i="4"/>
  <c r="L15" i="4"/>
  <c r="D16" i="4"/>
  <c r="E16" i="4" s="1"/>
  <c r="F16" i="4" s="1"/>
  <c r="S17" i="5" s="1"/>
  <c r="G16" i="4"/>
  <c r="H16" i="4"/>
  <c r="K16" i="4"/>
  <c r="L16" i="4"/>
  <c r="D17" i="4"/>
  <c r="E17" i="4"/>
  <c r="F17" i="4" s="1"/>
  <c r="S13" i="5" s="1"/>
  <c r="G17" i="4"/>
  <c r="H17" i="4"/>
  <c r="R17" i="4"/>
  <c r="K17" i="4"/>
  <c r="L17" i="4"/>
  <c r="D18" i="4"/>
  <c r="E18" i="4"/>
  <c r="F18" i="4" s="1"/>
  <c r="S18" i="5" s="1"/>
  <c r="G18" i="4"/>
  <c r="H18" i="4"/>
  <c r="I18" i="4"/>
  <c r="T18" i="5"/>
  <c r="R18" i="4"/>
  <c r="K18" i="4"/>
  <c r="L18" i="4"/>
  <c r="Z18" i="5"/>
  <c r="D19" i="4"/>
  <c r="E19" i="4" s="1"/>
  <c r="F19" i="4"/>
  <c r="S29" i="5" s="1"/>
  <c r="G19" i="4"/>
  <c r="H19" i="4"/>
  <c r="R19" i="4"/>
  <c r="K19" i="4"/>
  <c r="L19" i="4"/>
  <c r="D20" i="4"/>
  <c r="E20" i="4"/>
  <c r="F20" i="4" s="1"/>
  <c r="G20" i="4"/>
  <c r="H20" i="4"/>
  <c r="K20" i="4"/>
  <c r="L20" i="4"/>
  <c r="D21" i="4"/>
  <c r="E21" i="4"/>
  <c r="F21" i="4"/>
  <c r="S9" i="5" s="1"/>
  <c r="G21" i="4"/>
  <c r="H21" i="4"/>
  <c r="R21" i="4"/>
  <c r="K21" i="4"/>
  <c r="M21" i="4" s="1"/>
  <c r="V9" i="5" s="1"/>
  <c r="L21" i="4"/>
  <c r="D22" i="4"/>
  <c r="E22" i="4"/>
  <c r="F22" i="4" s="1"/>
  <c r="S52" i="5"/>
  <c r="G22" i="4"/>
  <c r="H22" i="4"/>
  <c r="R22" i="4"/>
  <c r="K22" i="4"/>
  <c r="L22" i="4"/>
  <c r="M22" i="4" s="1"/>
  <c r="V52" i="5" s="1"/>
  <c r="D23" i="4"/>
  <c r="E23" i="4"/>
  <c r="F23" i="4" s="1"/>
  <c r="S21" i="5" s="1"/>
  <c r="G23" i="4"/>
  <c r="H23" i="4"/>
  <c r="R23" i="4"/>
  <c r="K23" i="4"/>
  <c r="L23" i="4"/>
  <c r="M23" i="4"/>
  <c r="V21" i="5" s="1"/>
  <c r="D24" i="4"/>
  <c r="E24" i="4" s="1"/>
  <c r="F24" i="4" s="1"/>
  <c r="G24" i="4"/>
  <c r="H24" i="4"/>
  <c r="R24" i="4"/>
  <c r="K24" i="4"/>
  <c r="L24" i="4"/>
  <c r="D25" i="4"/>
  <c r="E25" i="4" s="1"/>
  <c r="F25" i="4" s="1"/>
  <c r="S7" i="5"/>
  <c r="G25" i="4"/>
  <c r="H25" i="4"/>
  <c r="R25" i="4"/>
  <c r="K25" i="4"/>
  <c r="M25" i="4" s="1"/>
  <c r="V7" i="5" s="1"/>
  <c r="L25" i="4"/>
  <c r="D26" i="4"/>
  <c r="E26" i="4" s="1"/>
  <c r="F26" i="4" s="1"/>
  <c r="S22" i="5" s="1"/>
  <c r="G26" i="4"/>
  <c r="I26" i="4" s="1"/>
  <c r="T22" i="5" s="1"/>
  <c r="H26" i="4"/>
  <c r="R26" i="4"/>
  <c r="K26" i="4"/>
  <c r="L26" i="4"/>
  <c r="D27" i="4"/>
  <c r="E27" i="4"/>
  <c r="F27" i="4" s="1"/>
  <c r="S5" i="5" s="1"/>
  <c r="G27" i="4"/>
  <c r="I27" i="4" s="1"/>
  <c r="H27" i="4"/>
  <c r="T5" i="5"/>
  <c r="R27" i="4"/>
  <c r="K27" i="4"/>
  <c r="L27" i="4"/>
  <c r="D28" i="4"/>
  <c r="E28" i="4"/>
  <c r="F28" i="4" s="1"/>
  <c r="S6" i="5" s="1"/>
  <c r="G28" i="4"/>
  <c r="H28" i="4"/>
  <c r="R28" i="4"/>
  <c r="K28" i="4"/>
  <c r="L28" i="4"/>
  <c r="D29" i="4"/>
  <c r="E29" i="4" s="1"/>
  <c r="F29" i="4" s="1"/>
  <c r="S4" i="5" s="1"/>
  <c r="G29" i="4"/>
  <c r="H29" i="4"/>
  <c r="R29" i="4"/>
  <c r="K29" i="4"/>
  <c r="L29" i="4"/>
  <c r="M29" i="4" s="1"/>
  <c r="V4" i="5" s="1"/>
  <c r="D30" i="4"/>
  <c r="E30" i="4" s="1"/>
  <c r="F30" i="4" s="1"/>
  <c r="G30" i="4"/>
  <c r="H30" i="4"/>
  <c r="I30" i="4" s="1"/>
  <c r="R30" i="4"/>
  <c r="K30" i="4"/>
  <c r="M30" i="4" s="1"/>
  <c r="L30" i="4"/>
  <c r="V19" i="5"/>
  <c r="D31" i="4"/>
  <c r="E31" i="4"/>
  <c r="F31" i="4"/>
  <c r="G31" i="4"/>
  <c r="H31" i="4"/>
  <c r="R31" i="4"/>
  <c r="K31" i="4"/>
  <c r="L31" i="4"/>
  <c r="D32" i="4"/>
  <c r="E32" i="4"/>
  <c r="F32" i="4"/>
  <c r="S113" i="5" s="1"/>
  <c r="G32" i="4"/>
  <c r="H32" i="4"/>
  <c r="R32" i="4"/>
  <c r="K32" i="4"/>
  <c r="M32" i="4" s="1"/>
  <c r="L32" i="4"/>
  <c r="V113" i="5"/>
  <c r="D33" i="4"/>
  <c r="E33" i="4"/>
  <c r="F33" i="4" s="1"/>
  <c r="S98" i="5" s="1"/>
  <c r="G33" i="4"/>
  <c r="H33" i="4"/>
  <c r="R33" i="4"/>
  <c r="K33" i="4"/>
  <c r="L33" i="4"/>
  <c r="D34" i="4"/>
  <c r="E34" i="4" s="1"/>
  <c r="F34" i="4" s="1"/>
  <c r="S37" i="5"/>
  <c r="G34" i="4"/>
  <c r="H34" i="4"/>
  <c r="I34" i="4"/>
  <c r="K34" i="4"/>
  <c r="L34" i="4"/>
  <c r="D35" i="4"/>
  <c r="E35" i="4"/>
  <c r="F35" i="4" s="1"/>
  <c r="S39" i="5" s="1"/>
  <c r="G35" i="4"/>
  <c r="I35" i="4" s="1"/>
  <c r="T39" i="5" s="1"/>
  <c r="H35" i="4"/>
  <c r="R35" i="4"/>
  <c r="K35" i="4"/>
  <c r="L35" i="4"/>
  <c r="D36" i="4"/>
  <c r="E36" i="4"/>
  <c r="F36" i="4" s="1"/>
  <c r="S93" i="5"/>
  <c r="G36" i="4"/>
  <c r="H36" i="4"/>
  <c r="R36" i="4"/>
  <c r="K36" i="4"/>
  <c r="L36" i="4"/>
  <c r="D37" i="4"/>
  <c r="E37" i="4" s="1"/>
  <c r="F37" i="4"/>
  <c r="S43" i="5" s="1"/>
  <c r="G37" i="4"/>
  <c r="H37" i="4"/>
  <c r="I37" i="4" s="1"/>
  <c r="R37" i="4"/>
  <c r="K37" i="4"/>
  <c r="L37" i="4"/>
  <c r="D38" i="4"/>
  <c r="E38" i="4" s="1"/>
  <c r="F38" i="4" s="1"/>
  <c r="S123" i="5" s="1"/>
  <c r="G38" i="4"/>
  <c r="H38" i="4"/>
  <c r="R38" i="4"/>
  <c r="K38" i="4"/>
  <c r="L38" i="4"/>
  <c r="D39" i="4"/>
  <c r="E39" i="4" s="1"/>
  <c r="F39" i="4"/>
  <c r="S94" i="5" s="1"/>
  <c r="G39" i="4"/>
  <c r="H39" i="4"/>
  <c r="I39" i="4" s="1"/>
  <c r="T94" i="5"/>
  <c r="R39" i="4"/>
  <c r="K39" i="4"/>
  <c r="L39" i="4"/>
  <c r="M39" i="4" s="1"/>
  <c r="V94" i="5" s="1"/>
  <c r="D40" i="4"/>
  <c r="E40" i="4" s="1"/>
  <c r="F40" i="4"/>
  <c r="S122" i="5" s="1"/>
  <c r="G40" i="4"/>
  <c r="H40" i="4"/>
  <c r="K40" i="4"/>
  <c r="L40" i="4"/>
  <c r="M40" i="4"/>
  <c r="V122" i="5" s="1"/>
  <c r="D41" i="4"/>
  <c r="E41" i="4" s="1"/>
  <c r="F41" i="4" s="1"/>
  <c r="S60" i="5"/>
  <c r="G41" i="4"/>
  <c r="H41" i="4"/>
  <c r="R41" i="4"/>
  <c r="K41" i="4"/>
  <c r="L41" i="4"/>
  <c r="D42" i="4"/>
  <c r="E42" i="4" s="1"/>
  <c r="F42" i="4"/>
  <c r="S112" i="5" s="1"/>
  <c r="G42" i="4"/>
  <c r="H42" i="4"/>
  <c r="I42" i="4" s="1"/>
  <c r="K42" i="4"/>
  <c r="L42" i="4"/>
  <c r="D43" i="4"/>
  <c r="E43" i="4" s="1"/>
  <c r="F43" i="4" s="1"/>
  <c r="S108" i="5" s="1"/>
  <c r="G43" i="4"/>
  <c r="H43" i="4"/>
  <c r="R43" i="4"/>
  <c r="K43" i="4"/>
  <c r="L43" i="4"/>
  <c r="D44" i="4"/>
  <c r="E44" i="4"/>
  <c r="F44" i="4"/>
  <c r="S81" i="5" s="1"/>
  <c r="G44" i="4"/>
  <c r="I44" i="4" s="1"/>
  <c r="H44" i="4"/>
  <c r="T81" i="5"/>
  <c r="R44" i="4"/>
  <c r="K44" i="4"/>
  <c r="L44" i="4"/>
  <c r="D45" i="4"/>
  <c r="E45" i="4"/>
  <c r="F45" i="4" s="1"/>
  <c r="G45" i="4"/>
  <c r="H45" i="4"/>
  <c r="I45" i="4" s="1"/>
  <c r="T91" i="5" s="1"/>
  <c r="R45" i="4"/>
  <c r="K45" i="4"/>
  <c r="L45" i="4"/>
  <c r="D46" i="4"/>
  <c r="E46" i="4" s="1"/>
  <c r="F46" i="4" s="1"/>
  <c r="S106" i="5"/>
  <c r="G46" i="4"/>
  <c r="H46" i="4"/>
  <c r="R46" i="4"/>
  <c r="K46" i="4"/>
  <c r="L46" i="4"/>
  <c r="M46" i="4" s="1"/>
  <c r="V106" i="5" s="1"/>
  <c r="D47" i="4"/>
  <c r="E47" i="4" s="1"/>
  <c r="F47" i="4"/>
  <c r="G47" i="4"/>
  <c r="H47" i="4"/>
  <c r="R47" i="4"/>
  <c r="K47" i="4"/>
  <c r="L47" i="4"/>
  <c r="M47" i="4"/>
  <c r="V82" i="5" s="1"/>
  <c r="D48" i="4"/>
  <c r="E48" i="4" s="1"/>
  <c r="F48" i="4" s="1"/>
  <c r="S121" i="5"/>
  <c r="G48" i="4"/>
  <c r="H48" i="4"/>
  <c r="R48" i="4"/>
  <c r="K48" i="4"/>
  <c r="L48" i="4"/>
  <c r="D49" i="4"/>
  <c r="E49" i="4" s="1"/>
  <c r="F49" i="4"/>
  <c r="S96" i="5" s="1"/>
  <c r="G49" i="4"/>
  <c r="H49" i="4"/>
  <c r="R49" i="4"/>
  <c r="K49" i="4"/>
  <c r="L49" i="4"/>
  <c r="D50" i="4"/>
  <c r="E50" i="4"/>
  <c r="F50" i="4" s="1"/>
  <c r="G50" i="4"/>
  <c r="H50" i="4"/>
  <c r="I50" i="4" s="1"/>
  <c r="T66" i="5"/>
  <c r="K50" i="4"/>
  <c r="L50" i="4"/>
  <c r="Z66" i="5"/>
  <c r="D51" i="4"/>
  <c r="E51" i="4"/>
  <c r="F51" i="4"/>
  <c r="S104" i="5"/>
  <c r="G51" i="4"/>
  <c r="H51" i="4"/>
  <c r="R51" i="4"/>
  <c r="K51" i="4"/>
  <c r="L51" i="4"/>
  <c r="D52" i="4"/>
  <c r="E52" i="4"/>
  <c r="F52" i="4"/>
  <c r="S89" i="5"/>
  <c r="G52" i="4"/>
  <c r="H52" i="4"/>
  <c r="R52" i="4"/>
  <c r="K52" i="4"/>
  <c r="L52" i="4"/>
  <c r="D53" i="4"/>
  <c r="E53" i="4"/>
  <c r="F53" i="4"/>
  <c r="S109" i="5" s="1"/>
  <c r="G53" i="4"/>
  <c r="H53" i="4"/>
  <c r="I53" i="4" s="1"/>
  <c r="T109" i="5" s="1"/>
  <c r="R53" i="4"/>
  <c r="K53" i="4"/>
  <c r="L53" i="4"/>
  <c r="D54" i="4"/>
  <c r="E54" i="4"/>
  <c r="F54" i="4" s="1"/>
  <c r="S46" i="5" s="1"/>
  <c r="G54" i="4"/>
  <c r="H54" i="4"/>
  <c r="R54" i="4"/>
  <c r="K54" i="4"/>
  <c r="L54" i="4"/>
  <c r="D55" i="4"/>
  <c r="E55" i="4" s="1"/>
  <c r="F55" i="4" s="1"/>
  <c r="G55" i="4"/>
  <c r="H55" i="4"/>
  <c r="R55" i="4"/>
  <c r="K55" i="4"/>
  <c r="L55" i="4"/>
  <c r="M55" i="4"/>
  <c r="V126" i="5" s="1"/>
  <c r="D56" i="4"/>
  <c r="E56" i="4"/>
  <c r="F56" i="4"/>
  <c r="S76" i="5"/>
  <c r="G56" i="4"/>
  <c r="H56" i="4"/>
  <c r="R56" i="4"/>
  <c r="K56" i="4"/>
  <c r="L56" i="4"/>
  <c r="M56" i="4"/>
  <c r="V76" i="5"/>
  <c r="D57" i="4"/>
  <c r="E57" i="4"/>
  <c r="F57" i="4" s="1"/>
  <c r="G57" i="4"/>
  <c r="H57" i="4"/>
  <c r="R57" i="4"/>
  <c r="K57" i="4"/>
  <c r="L57" i="4"/>
  <c r="D58" i="4"/>
  <c r="E58" i="4"/>
  <c r="F58" i="4" s="1"/>
  <c r="S99" i="5"/>
  <c r="G58" i="4"/>
  <c r="H58" i="4"/>
  <c r="K58" i="4"/>
  <c r="L58" i="4"/>
  <c r="D59" i="4"/>
  <c r="E59" i="4" s="1"/>
  <c r="F59" i="4" s="1"/>
  <c r="S85" i="5" s="1"/>
  <c r="G59" i="4"/>
  <c r="H59" i="4"/>
  <c r="I59" i="4" s="1"/>
  <c r="T85" i="5" s="1"/>
  <c r="R59" i="4"/>
  <c r="K59" i="4"/>
  <c r="L59" i="4"/>
  <c r="D60" i="4"/>
  <c r="E60" i="4"/>
  <c r="F60" i="4" s="1"/>
  <c r="S124" i="5" s="1"/>
  <c r="G60" i="4"/>
  <c r="H60" i="4"/>
  <c r="R60" i="4"/>
  <c r="K60" i="4"/>
  <c r="L60" i="4"/>
  <c r="D61" i="4"/>
  <c r="E61" i="4" s="1"/>
  <c r="F61" i="4" s="1"/>
  <c r="S103" i="5" s="1"/>
  <c r="G61" i="4"/>
  <c r="H61" i="4"/>
  <c r="R61" i="4"/>
  <c r="K61" i="4"/>
  <c r="L61" i="4"/>
  <c r="D62" i="4"/>
  <c r="E62" i="4"/>
  <c r="F62" i="4"/>
  <c r="S102" i="5"/>
  <c r="G62" i="4"/>
  <c r="H62" i="4"/>
  <c r="R62" i="4"/>
  <c r="K62" i="4"/>
  <c r="M62" i="4" s="1"/>
  <c r="V102" i="5" s="1"/>
  <c r="L62" i="4"/>
  <c r="D63" i="4"/>
  <c r="E63" i="4" s="1"/>
  <c r="F63" i="4" s="1"/>
  <c r="S116" i="5" s="1"/>
  <c r="G63" i="4"/>
  <c r="H63" i="4"/>
  <c r="R63" i="4"/>
  <c r="K63" i="4"/>
  <c r="L63" i="4"/>
  <c r="D64" i="4"/>
  <c r="E64" i="4"/>
  <c r="F64" i="4" s="1"/>
  <c r="S114" i="5" s="1"/>
  <c r="G64" i="4"/>
  <c r="H64" i="4"/>
  <c r="I64" i="4" s="1"/>
  <c r="J64" i="4" s="1"/>
  <c r="R64" i="4"/>
  <c r="K64" i="4"/>
  <c r="L64" i="4"/>
  <c r="Z114" i="5"/>
  <c r="D65" i="4"/>
  <c r="E65" i="4"/>
  <c r="F65" i="4"/>
  <c r="S100" i="5"/>
  <c r="G65" i="4"/>
  <c r="H65" i="4"/>
  <c r="R65" i="4"/>
  <c r="K65" i="4"/>
  <c r="L65" i="4"/>
  <c r="M65" i="4"/>
  <c r="V100" i="5"/>
  <c r="D66" i="4"/>
  <c r="E66" i="4" s="1"/>
  <c r="F66" i="4" s="1"/>
  <c r="S67" i="5" s="1"/>
  <c r="G66" i="4"/>
  <c r="H66" i="4"/>
  <c r="R66" i="4"/>
  <c r="K66" i="4"/>
  <c r="L66" i="4"/>
  <c r="M66" i="4"/>
  <c r="V67" i="5" s="1"/>
  <c r="D67" i="4"/>
  <c r="E67" i="4"/>
  <c r="F67" i="4" s="1"/>
  <c r="S57" i="5"/>
  <c r="G67" i="4"/>
  <c r="H67" i="4"/>
  <c r="I67" i="4"/>
  <c r="T57" i="5"/>
  <c r="R67" i="4"/>
  <c r="K67" i="4"/>
  <c r="L67" i="4"/>
  <c r="M67" i="4"/>
  <c r="V57" i="5"/>
  <c r="D68" i="4"/>
  <c r="E68" i="4"/>
  <c r="F68" i="4" s="1"/>
  <c r="S95" i="5" s="1"/>
  <c r="G68" i="4"/>
  <c r="H68" i="4"/>
  <c r="I68" i="4"/>
  <c r="R68" i="4"/>
  <c r="K68" i="4"/>
  <c r="L68" i="4"/>
  <c r="D69" i="4"/>
  <c r="E69" i="4"/>
  <c r="F69" i="4" s="1"/>
  <c r="S128" i="5" s="1"/>
  <c r="G69" i="4"/>
  <c r="H69" i="4"/>
  <c r="I69" i="4"/>
  <c r="T128" i="5" s="1"/>
  <c r="R69" i="4"/>
  <c r="K69" i="4"/>
  <c r="L69" i="4"/>
  <c r="D70" i="4"/>
  <c r="E70" i="4"/>
  <c r="F70" i="4"/>
  <c r="S44" i="5"/>
  <c r="G70" i="4"/>
  <c r="H70" i="4"/>
  <c r="R70" i="4"/>
  <c r="K70" i="4"/>
  <c r="L70" i="4"/>
  <c r="D71" i="4"/>
  <c r="E71" i="4"/>
  <c r="F71" i="4"/>
  <c r="S56" i="5" s="1"/>
  <c r="G71" i="4"/>
  <c r="H71" i="4"/>
  <c r="I71" i="4" s="1"/>
  <c r="T56" i="5" s="1"/>
  <c r="R71" i="4"/>
  <c r="K71" i="4"/>
  <c r="L71" i="4"/>
  <c r="M71" i="4"/>
  <c r="V56" i="5"/>
  <c r="D72" i="4"/>
  <c r="E72" i="4" s="1"/>
  <c r="F72" i="4"/>
  <c r="S78" i="5"/>
  <c r="G72" i="4"/>
  <c r="H72" i="4"/>
  <c r="R72" i="4"/>
  <c r="K72" i="4"/>
  <c r="L72" i="4"/>
  <c r="D73" i="4"/>
  <c r="E73" i="4"/>
  <c r="F73" i="4"/>
  <c r="S87" i="5" s="1"/>
  <c r="G73" i="4"/>
  <c r="H73" i="4"/>
  <c r="R73" i="4"/>
  <c r="K73" i="4"/>
  <c r="L73" i="4"/>
  <c r="D74" i="4"/>
  <c r="E74" i="4"/>
  <c r="F74" i="4" s="1"/>
  <c r="S90" i="5" s="1"/>
  <c r="G74" i="4"/>
  <c r="H74" i="4"/>
  <c r="K74" i="4"/>
  <c r="L74" i="4"/>
  <c r="D75" i="4"/>
  <c r="E75" i="4"/>
  <c r="F75" i="4" s="1"/>
  <c r="S38" i="5" s="1"/>
  <c r="G75" i="4"/>
  <c r="H75" i="4"/>
  <c r="R75" i="4"/>
  <c r="K75" i="4"/>
  <c r="L75" i="4"/>
  <c r="D76" i="4"/>
  <c r="E76" i="4" s="1"/>
  <c r="F76" i="4" s="1"/>
  <c r="S42" i="5" s="1"/>
  <c r="G76" i="4"/>
  <c r="H76" i="4"/>
  <c r="R76" i="4"/>
  <c r="K76" i="4"/>
  <c r="L76" i="4"/>
  <c r="D77" i="4"/>
  <c r="E77" i="4"/>
  <c r="F77" i="4"/>
  <c r="S84" i="5"/>
  <c r="G77" i="4"/>
  <c r="H77" i="4"/>
  <c r="I77" i="4"/>
  <c r="T84" i="5" s="1"/>
  <c r="R77" i="4"/>
  <c r="K77" i="4"/>
  <c r="L77" i="4"/>
  <c r="D78" i="4"/>
  <c r="E78" i="4" s="1"/>
  <c r="F78" i="4" s="1"/>
  <c r="S97" i="5"/>
  <c r="G78" i="4"/>
  <c r="H78" i="4"/>
  <c r="R78" i="4"/>
  <c r="K78" i="4"/>
  <c r="L78" i="4"/>
  <c r="M78" i="4" s="1"/>
  <c r="V97" i="5" s="1"/>
  <c r="D79" i="4"/>
  <c r="E79" i="4" s="1"/>
  <c r="F79" i="4" s="1"/>
  <c r="S92" i="5" s="1"/>
  <c r="G79" i="4"/>
  <c r="H79" i="4"/>
  <c r="R79" i="4"/>
  <c r="K79" i="4"/>
  <c r="L79" i="4"/>
  <c r="D80" i="4"/>
  <c r="E80" i="4" s="1"/>
  <c r="F80" i="4" s="1"/>
  <c r="S77" i="5" s="1"/>
  <c r="G80" i="4"/>
  <c r="H80" i="4"/>
  <c r="R80" i="4"/>
  <c r="K80" i="4"/>
  <c r="L80" i="4"/>
  <c r="D81" i="4"/>
  <c r="E81" i="4"/>
  <c r="F81" i="4"/>
  <c r="S70" i="5" s="1"/>
  <c r="G81" i="4"/>
  <c r="H81" i="4"/>
  <c r="R81" i="4"/>
  <c r="K81" i="4"/>
  <c r="L81" i="4"/>
  <c r="D82" i="4"/>
  <c r="E82" i="4"/>
  <c r="F82" i="4" s="1"/>
  <c r="S80" i="5" s="1"/>
  <c r="G82" i="4"/>
  <c r="H82" i="4"/>
  <c r="R82" i="4"/>
  <c r="K82" i="4"/>
  <c r="L82" i="4"/>
  <c r="D83" i="4"/>
  <c r="E83" i="4"/>
  <c r="F83" i="4"/>
  <c r="S64" i="5" s="1"/>
  <c r="G83" i="4"/>
  <c r="H83" i="4"/>
  <c r="R83" i="4"/>
  <c r="K83" i="4"/>
  <c r="L83" i="4"/>
  <c r="Z64" i="5"/>
  <c r="D84" i="4"/>
  <c r="E84" i="4" s="1"/>
  <c r="F84" i="4" s="1"/>
  <c r="S117" i="5" s="1"/>
  <c r="G84" i="4"/>
  <c r="H84" i="4"/>
  <c r="R84" i="4"/>
  <c r="K84" i="4"/>
  <c r="L84" i="4"/>
  <c r="D85" i="4"/>
  <c r="E85" i="4" s="1"/>
  <c r="F85" i="4" s="1"/>
  <c r="S115" i="5" s="1"/>
  <c r="G85" i="4"/>
  <c r="H85" i="4"/>
  <c r="R85" i="4"/>
  <c r="K85" i="4"/>
  <c r="L85" i="4"/>
  <c r="Z115" i="5"/>
  <c r="D86" i="4"/>
  <c r="E86" i="4"/>
  <c r="F86" i="4"/>
  <c r="S73" i="5" s="1"/>
  <c r="G86" i="4"/>
  <c r="H86" i="4"/>
  <c r="R86" i="4"/>
  <c r="K86" i="4"/>
  <c r="L86" i="4"/>
  <c r="D87" i="4"/>
  <c r="E87" i="4"/>
  <c r="F87" i="4" s="1"/>
  <c r="S72" i="5" s="1"/>
  <c r="G87" i="4"/>
  <c r="H87" i="4"/>
  <c r="R87" i="4"/>
  <c r="K87" i="4"/>
  <c r="L87" i="4"/>
  <c r="D88" i="4"/>
  <c r="E88" i="4" s="1"/>
  <c r="F88" i="4" s="1"/>
  <c r="S119" i="5" s="1"/>
  <c r="G88" i="4"/>
  <c r="H88" i="4"/>
  <c r="R88" i="4"/>
  <c r="K88" i="4"/>
  <c r="L88" i="4"/>
  <c r="M88" i="4" s="1"/>
  <c r="V119" i="5" s="1"/>
  <c r="D89" i="4"/>
  <c r="E89" i="4" s="1"/>
  <c r="F89" i="4" s="1"/>
  <c r="S10" i="5" s="1"/>
  <c r="G89" i="4"/>
  <c r="H89" i="4"/>
  <c r="I89" i="4" s="1"/>
  <c r="T10" i="5" s="1"/>
  <c r="R89" i="4"/>
  <c r="K89" i="4"/>
  <c r="M89" i="4" s="1"/>
  <c r="V10" i="5" s="1"/>
  <c r="L89" i="4"/>
  <c r="D90" i="4"/>
  <c r="E90" i="4" s="1"/>
  <c r="F90" i="4" s="1"/>
  <c r="S20" i="5" s="1"/>
  <c r="G90" i="4"/>
  <c r="H90" i="4"/>
  <c r="R90" i="4"/>
  <c r="K90" i="4"/>
  <c r="L90" i="4"/>
  <c r="D91" i="4"/>
  <c r="E91" i="4"/>
  <c r="F91" i="4"/>
  <c r="S12" i="5" s="1"/>
  <c r="G91" i="4"/>
  <c r="H91" i="4"/>
  <c r="R91" i="4"/>
  <c r="K91" i="4"/>
  <c r="M91" i="4" s="1"/>
  <c r="V12" i="5" s="1"/>
  <c r="L91" i="4"/>
  <c r="D92" i="4"/>
  <c r="E92" i="4" s="1"/>
  <c r="F92" i="4" s="1"/>
  <c r="S11" i="5" s="1"/>
  <c r="G92" i="4"/>
  <c r="H92" i="4"/>
  <c r="R92" i="4"/>
  <c r="K92" i="4"/>
  <c r="L92" i="4"/>
  <c r="D93" i="4"/>
  <c r="E93" i="4" s="1"/>
  <c r="F93" i="4" s="1"/>
  <c r="S36" i="5" s="1"/>
  <c r="G93" i="4"/>
  <c r="H93" i="4"/>
  <c r="I93" i="4"/>
  <c r="R93" i="4"/>
  <c r="K93" i="4"/>
  <c r="L93" i="4"/>
  <c r="Z36" i="5"/>
  <c r="D94" i="4"/>
  <c r="E94" i="4" s="1"/>
  <c r="F94" i="4" s="1"/>
  <c r="S74" i="5"/>
  <c r="G94" i="4"/>
  <c r="I94" i="4" s="1"/>
  <c r="T74" i="5" s="1"/>
  <c r="H94" i="4"/>
  <c r="R94" i="4"/>
  <c r="K94" i="4"/>
  <c r="L94" i="4"/>
  <c r="D95" i="4"/>
  <c r="E95" i="4" s="1"/>
  <c r="F95" i="4" s="1"/>
  <c r="S129" i="5" s="1"/>
  <c r="G95" i="4"/>
  <c r="H95" i="4"/>
  <c r="I95" i="4" s="1"/>
  <c r="T129" i="5" s="1"/>
  <c r="R95" i="4"/>
  <c r="K95" i="4"/>
  <c r="L95" i="4"/>
  <c r="D96" i="4"/>
  <c r="E96" i="4"/>
  <c r="F96" i="4"/>
  <c r="S146" i="5" s="1"/>
  <c r="G96" i="4"/>
  <c r="H96" i="4"/>
  <c r="R96" i="4"/>
  <c r="K96" i="4"/>
  <c r="L96" i="4"/>
  <c r="D97" i="4"/>
  <c r="E97" i="4"/>
  <c r="F97" i="4" s="1"/>
  <c r="S71" i="5" s="1"/>
  <c r="G97" i="4"/>
  <c r="I97" i="4" s="1"/>
  <c r="H97" i="4"/>
  <c r="R97" i="4"/>
  <c r="K97" i="4"/>
  <c r="L97" i="4"/>
  <c r="M97" i="4"/>
  <c r="V71" i="5" s="1"/>
  <c r="D98" i="4"/>
  <c r="E98" i="4"/>
  <c r="F98" i="4" s="1"/>
  <c r="S134" i="5" s="1"/>
  <c r="G98" i="4"/>
  <c r="H98" i="4"/>
  <c r="K98" i="4"/>
  <c r="L98" i="4"/>
  <c r="D99" i="4"/>
  <c r="E99" i="4"/>
  <c r="F99" i="4" s="1"/>
  <c r="S88" i="5" s="1"/>
  <c r="G99" i="4"/>
  <c r="H99" i="4"/>
  <c r="R99" i="4"/>
  <c r="S99" i="4" s="1"/>
  <c r="K99" i="4"/>
  <c r="L99" i="4"/>
  <c r="M99" i="4" s="1"/>
  <c r="V88" i="5" s="1"/>
  <c r="D100" i="4"/>
  <c r="E100" i="4"/>
  <c r="F100" i="4"/>
  <c r="S130" i="5" s="1"/>
  <c r="G100" i="4"/>
  <c r="H100" i="4"/>
  <c r="I100" i="4" s="1"/>
  <c r="R100" i="4"/>
  <c r="K100" i="4"/>
  <c r="L100" i="4"/>
  <c r="D101" i="4"/>
  <c r="E101" i="4"/>
  <c r="F101" i="4" s="1"/>
  <c r="S131" i="5" s="1"/>
  <c r="G101" i="4"/>
  <c r="I101" i="4" s="1"/>
  <c r="T131" i="5" s="1"/>
  <c r="H101" i="4"/>
  <c r="R101" i="4"/>
  <c r="K101" i="4"/>
  <c r="M101" i="4" s="1"/>
  <c r="L101" i="4"/>
  <c r="Z131" i="5"/>
  <c r="D102" i="4"/>
  <c r="E102" i="4" s="1"/>
  <c r="F102" i="4" s="1"/>
  <c r="S147" i="5" s="1"/>
  <c r="G102" i="4"/>
  <c r="H102" i="4"/>
  <c r="I102" i="4"/>
  <c r="R102" i="4"/>
  <c r="K102" i="4"/>
  <c r="M102" i="4" s="1"/>
  <c r="V147" i="5" s="1"/>
  <c r="L102" i="4"/>
  <c r="D103" i="4"/>
  <c r="E103" i="4"/>
  <c r="F103" i="4"/>
  <c r="S148" i="5"/>
  <c r="G103" i="4"/>
  <c r="H103" i="4"/>
  <c r="I103" i="4"/>
  <c r="R103" i="4"/>
  <c r="K103" i="4"/>
  <c r="L103" i="4"/>
  <c r="D104" i="4"/>
  <c r="E104" i="4"/>
  <c r="F104" i="4"/>
  <c r="S145" i="5" s="1"/>
  <c r="G104" i="4"/>
  <c r="I104" i="4" s="1"/>
  <c r="T145" i="5" s="1"/>
  <c r="H104" i="4"/>
  <c r="K104" i="4"/>
  <c r="L104" i="4"/>
  <c r="D105" i="4"/>
  <c r="E105" i="4"/>
  <c r="F105" i="4"/>
  <c r="S127" i="5" s="1"/>
  <c r="G105" i="4"/>
  <c r="H105" i="4"/>
  <c r="R105" i="4"/>
  <c r="K105" i="4"/>
  <c r="L105" i="4"/>
  <c r="M105" i="4" s="1"/>
  <c r="V127" i="5" s="1"/>
  <c r="D106" i="4"/>
  <c r="E106" i="4" s="1"/>
  <c r="F106" i="4" s="1"/>
  <c r="S75" i="5" s="1"/>
  <c r="G106" i="4"/>
  <c r="H106" i="4"/>
  <c r="K106" i="4"/>
  <c r="M106" i="4" s="1"/>
  <c r="V75" i="5" s="1"/>
  <c r="L106" i="4"/>
  <c r="D107" i="4"/>
  <c r="E107" i="4"/>
  <c r="F107" i="4" s="1"/>
  <c r="S51" i="5"/>
  <c r="G107" i="4"/>
  <c r="H107" i="4"/>
  <c r="R107" i="4"/>
  <c r="K107" i="4"/>
  <c r="L107" i="4"/>
  <c r="D108" i="4"/>
  <c r="E108" i="4" s="1"/>
  <c r="F108" i="4" s="1"/>
  <c r="S54" i="5" s="1"/>
  <c r="G108" i="4"/>
  <c r="H108" i="4"/>
  <c r="R108" i="4"/>
  <c r="K108" i="4"/>
  <c r="L108" i="4"/>
  <c r="D109" i="4"/>
  <c r="E109" i="4" s="1"/>
  <c r="F109" i="4" s="1"/>
  <c r="S83" i="5" s="1"/>
  <c r="G109" i="4"/>
  <c r="H109" i="4"/>
  <c r="I109" i="4"/>
  <c r="R109" i="4"/>
  <c r="K109" i="4"/>
  <c r="L109" i="4"/>
  <c r="Z83" i="5"/>
  <c r="D110" i="4"/>
  <c r="E110" i="4"/>
  <c r="F110" i="4" s="1"/>
  <c r="S79" i="5" s="1"/>
  <c r="G110" i="4"/>
  <c r="I110" i="4" s="1"/>
  <c r="T79" i="5" s="1"/>
  <c r="H110" i="4"/>
  <c r="R110" i="4"/>
  <c r="K110" i="4"/>
  <c r="L110" i="4"/>
  <c r="D111" i="4"/>
  <c r="E111" i="4" s="1"/>
  <c r="F111" i="4" s="1"/>
  <c r="S65" i="5" s="1"/>
  <c r="G111" i="4"/>
  <c r="H111" i="4"/>
  <c r="R111" i="4"/>
  <c r="K111" i="4"/>
  <c r="L111" i="4"/>
  <c r="D112" i="4"/>
  <c r="E112" i="4" s="1"/>
  <c r="F112" i="4" s="1"/>
  <c r="S136" i="5" s="1"/>
  <c r="G112" i="4"/>
  <c r="H112" i="4"/>
  <c r="R112" i="4"/>
  <c r="K112" i="4"/>
  <c r="M112" i="4" s="1"/>
  <c r="V136" i="5" s="1"/>
  <c r="L112" i="4"/>
  <c r="D113" i="4"/>
  <c r="E113" i="4"/>
  <c r="F113" i="4"/>
  <c r="S142" i="5"/>
  <c r="G113" i="4"/>
  <c r="H113" i="4"/>
  <c r="R113" i="4"/>
  <c r="K113" i="4"/>
  <c r="L113" i="4"/>
  <c r="M113" i="4"/>
  <c r="V142" i="5"/>
  <c r="D114" i="4"/>
  <c r="E114" i="4" s="1"/>
  <c r="F114" i="4" s="1"/>
  <c r="S140" i="5" s="1"/>
  <c r="G114" i="4"/>
  <c r="H114" i="4"/>
  <c r="K114" i="4"/>
  <c r="L114" i="4"/>
  <c r="M114" i="4" s="1"/>
  <c r="V140" i="5"/>
  <c r="D115" i="4"/>
  <c r="E115" i="4" s="1"/>
  <c r="F115" i="4" s="1"/>
  <c r="S135" i="5" s="1"/>
  <c r="G115" i="4"/>
  <c r="H115" i="4"/>
  <c r="I115" i="4" s="1"/>
  <c r="T135" i="5" s="1"/>
  <c r="R115" i="4"/>
  <c r="K115" i="4"/>
  <c r="L115" i="4"/>
  <c r="Z135" i="5"/>
  <c r="D116" i="4"/>
  <c r="E116" i="4"/>
  <c r="F116" i="4" s="1"/>
  <c r="S125" i="5" s="1"/>
  <c r="G116" i="4"/>
  <c r="H116" i="4"/>
  <c r="R116" i="4"/>
  <c r="K116" i="4"/>
  <c r="L116" i="4"/>
  <c r="D117" i="4"/>
  <c r="E117" i="4" s="1"/>
  <c r="F117" i="4" s="1"/>
  <c r="S133" i="5"/>
  <c r="G117" i="4"/>
  <c r="I117" i="4" s="1"/>
  <c r="H117" i="4"/>
  <c r="R117" i="4"/>
  <c r="K117" i="4"/>
  <c r="L117" i="4"/>
  <c r="Z133" i="5"/>
  <c r="D118" i="4"/>
  <c r="E118" i="4" s="1"/>
  <c r="F118" i="4" s="1"/>
  <c r="S139" i="5" s="1"/>
  <c r="G118" i="4"/>
  <c r="H118" i="4"/>
  <c r="I118" i="4"/>
  <c r="R118" i="4"/>
  <c r="K118" i="4"/>
  <c r="L118" i="4"/>
  <c r="D119" i="4"/>
  <c r="E119" i="4" s="1"/>
  <c r="F119" i="4" s="1"/>
  <c r="S47" i="5"/>
  <c r="G119" i="4"/>
  <c r="I119" i="4" s="1"/>
  <c r="H119" i="4"/>
  <c r="R119" i="4"/>
  <c r="K119" i="4"/>
  <c r="L119" i="4"/>
  <c r="D120" i="4"/>
  <c r="E120" i="4"/>
  <c r="F120" i="4"/>
  <c r="S137" i="5" s="1"/>
  <c r="G120" i="4"/>
  <c r="H120" i="4"/>
  <c r="R120" i="4"/>
  <c r="K120" i="4"/>
  <c r="L120" i="4"/>
  <c r="M120" i="4"/>
  <c r="V137" i="5"/>
  <c r="D121" i="4"/>
  <c r="E121" i="4"/>
  <c r="F121" i="4" s="1"/>
  <c r="S107" i="5" s="1"/>
  <c r="G121" i="4"/>
  <c r="H121" i="4"/>
  <c r="I121" i="4"/>
  <c r="T107" i="5" s="1"/>
  <c r="R121" i="4"/>
  <c r="K121" i="4"/>
  <c r="L121" i="4"/>
  <c r="D122" i="4"/>
  <c r="E122" i="4"/>
  <c r="F122" i="4"/>
  <c r="S63" i="5"/>
  <c r="G122" i="4"/>
  <c r="H122" i="4"/>
  <c r="K122" i="4"/>
  <c r="M122" i="4" s="1"/>
  <c r="V63" i="5" s="1"/>
  <c r="L122" i="4"/>
  <c r="D123" i="4"/>
  <c r="E123" i="4"/>
  <c r="F123" i="4" s="1"/>
  <c r="S138" i="5" s="1"/>
  <c r="G123" i="4"/>
  <c r="H123" i="4"/>
  <c r="R123" i="4"/>
  <c r="K123" i="4"/>
  <c r="L123" i="4"/>
  <c r="D124" i="4"/>
  <c r="E124" i="4" s="1"/>
  <c r="F124" i="4" s="1"/>
  <c r="S143" i="5" s="1"/>
  <c r="G124" i="4"/>
  <c r="H124" i="4"/>
  <c r="R124" i="4"/>
  <c r="K124" i="4"/>
  <c r="L124" i="4"/>
  <c r="D125" i="4"/>
  <c r="E125" i="4"/>
  <c r="F125" i="4" s="1"/>
  <c r="S105" i="5" s="1"/>
  <c r="G125" i="4"/>
  <c r="H125" i="4"/>
  <c r="I125" i="4"/>
  <c r="R125" i="4"/>
  <c r="K125" i="4"/>
  <c r="L125" i="4"/>
  <c r="Z105" i="5"/>
  <c r="D126" i="4"/>
  <c r="E126" i="4" s="1"/>
  <c r="F126" i="4" s="1"/>
  <c r="S41" i="5" s="1"/>
  <c r="G126" i="4"/>
  <c r="H126" i="4"/>
  <c r="R126" i="4"/>
  <c r="K126" i="4"/>
  <c r="L126" i="4"/>
  <c r="D127" i="4"/>
  <c r="E127" i="4"/>
  <c r="F127" i="4"/>
  <c r="S120" i="5"/>
  <c r="G127" i="4"/>
  <c r="H127" i="4"/>
  <c r="R127" i="4"/>
  <c r="K127" i="4"/>
  <c r="L127" i="4"/>
  <c r="D128" i="4"/>
  <c r="E128" i="4"/>
  <c r="F128" i="4"/>
  <c r="S118" i="5" s="1"/>
  <c r="G128" i="4"/>
  <c r="H128" i="4"/>
  <c r="I128" i="4"/>
  <c r="T118" i="5"/>
  <c r="R128" i="4"/>
  <c r="K128" i="4"/>
  <c r="L128" i="4"/>
  <c r="D129" i="4"/>
  <c r="E129" i="4"/>
  <c r="F129" i="4"/>
  <c r="S132" i="5" s="1"/>
  <c r="G129" i="4"/>
  <c r="H129" i="4"/>
  <c r="R129" i="4"/>
  <c r="K129" i="4"/>
  <c r="L129" i="4"/>
  <c r="D130" i="4"/>
  <c r="E130" i="4"/>
  <c r="F130" i="4" s="1"/>
  <c r="S110" i="5" s="1"/>
  <c r="G130" i="4"/>
  <c r="H130" i="4"/>
  <c r="K130" i="4"/>
  <c r="L130" i="4"/>
  <c r="D131" i="4"/>
  <c r="E131" i="4" s="1"/>
  <c r="F131" i="4"/>
  <c r="S111" i="5" s="1"/>
  <c r="G131" i="4"/>
  <c r="H131" i="4"/>
  <c r="R131" i="4"/>
  <c r="K131" i="4"/>
  <c r="L131" i="4"/>
  <c r="D132" i="4"/>
  <c r="E132" i="4" s="1"/>
  <c r="F132" i="4" s="1"/>
  <c r="S61" i="5" s="1"/>
  <c r="G132" i="4"/>
  <c r="H132" i="4"/>
  <c r="I132" i="4" s="1"/>
  <c r="R132" i="4"/>
  <c r="K132" i="4"/>
  <c r="L132" i="4"/>
  <c r="D133" i="4"/>
  <c r="E133" i="4" s="1"/>
  <c r="F133" i="4" s="1"/>
  <c r="S55" i="5" s="1"/>
  <c r="G133" i="4"/>
  <c r="I133" i="4" s="1"/>
  <c r="H133" i="4"/>
  <c r="R133" i="4"/>
  <c r="K133" i="4"/>
  <c r="L133" i="4"/>
  <c r="Z55" i="5"/>
  <c r="D134" i="4"/>
  <c r="E134" i="4"/>
  <c r="F134" i="4" s="1"/>
  <c r="S59" i="5" s="1"/>
  <c r="G134" i="4"/>
  <c r="H134" i="4"/>
  <c r="R134" i="4"/>
  <c r="K134" i="4"/>
  <c r="L134" i="4"/>
  <c r="D135" i="4"/>
  <c r="E135" i="4" s="1"/>
  <c r="F135" i="4" s="1"/>
  <c r="S149" i="5" s="1"/>
  <c r="G135" i="4"/>
  <c r="H135" i="4"/>
  <c r="I135" i="4"/>
  <c r="T149" i="5"/>
  <c r="R135" i="4"/>
  <c r="K135" i="4"/>
  <c r="M135" i="4" s="1"/>
  <c r="V149" i="5" s="1"/>
  <c r="L135" i="4"/>
  <c r="D136" i="4"/>
  <c r="E136" i="4"/>
  <c r="F136" i="4"/>
  <c r="S141" i="5"/>
  <c r="G136" i="4"/>
  <c r="I136" i="4" s="1"/>
  <c r="H136" i="4"/>
  <c r="R136" i="4"/>
  <c r="K136" i="4"/>
  <c r="L136" i="4"/>
  <c r="M136" i="4"/>
  <c r="V141" i="5"/>
  <c r="D137" i="4"/>
  <c r="E137" i="4"/>
  <c r="F137" i="4" s="1"/>
  <c r="S144" i="5" s="1"/>
  <c r="G137" i="4"/>
  <c r="H137" i="4"/>
  <c r="R137" i="4"/>
  <c r="K137" i="4"/>
  <c r="L137" i="4"/>
  <c r="D138" i="4"/>
  <c r="E138" i="4"/>
  <c r="F138" i="4" s="1"/>
  <c r="S101" i="5" s="1"/>
  <c r="G138" i="4"/>
  <c r="H138" i="4"/>
  <c r="K138" i="4"/>
  <c r="M138" i="4" s="1"/>
  <c r="V101" i="5" s="1"/>
  <c r="L138" i="4"/>
  <c r="D139" i="4"/>
  <c r="E139" i="4" s="1"/>
  <c r="F139" i="4" s="1"/>
  <c r="S45" i="5" s="1"/>
  <c r="G139" i="4"/>
  <c r="H139" i="4"/>
  <c r="R139" i="4"/>
  <c r="K139" i="4"/>
  <c r="L139" i="4"/>
  <c r="Z45" i="5"/>
  <c r="D140" i="4"/>
  <c r="E140" i="4"/>
  <c r="F140" i="4"/>
  <c r="G140" i="4"/>
  <c r="H140" i="4"/>
  <c r="R140" i="4"/>
  <c r="K140" i="4"/>
  <c r="L140" i="4"/>
  <c r="D141" i="4"/>
  <c r="E141" i="4"/>
  <c r="F141" i="4"/>
  <c r="G141" i="4"/>
  <c r="H141" i="4"/>
  <c r="R141" i="4"/>
  <c r="K141" i="4"/>
  <c r="L141" i="4"/>
  <c r="D142" i="4"/>
  <c r="E142" i="4"/>
  <c r="F142" i="4"/>
  <c r="S68" i="5" s="1"/>
  <c r="G142" i="4"/>
  <c r="H142" i="4"/>
  <c r="R142" i="4"/>
  <c r="K142" i="4"/>
  <c r="L142" i="4"/>
  <c r="D143" i="4"/>
  <c r="E143" i="4"/>
  <c r="F143" i="4" s="1"/>
  <c r="S53" i="5" s="1"/>
  <c r="G143" i="4"/>
  <c r="I143" i="4" s="1"/>
  <c r="H143" i="4"/>
  <c r="R143" i="4"/>
  <c r="K143" i="4"/>
  <c r="L143" i="4"/>
  <c r="D144" i="4"/>
  <c r="E144" i="4" s="1"/>
  <c r="F144" i="4" s="1"/>
  <c r="G144" i="4"/>
  <c r="H144" i="4"/>
  <c r="R144" i="4"/>
  <c r="K144" i="4"/>
  <c r="L144" i="4"/>
  <c r="D145" i="4"/>
  <c r="E145" i="4" s="1"/>
  <c r="F145" i="4"/>
  <c r="S50" i="5" s="1"/>
  <c r="G145" i="4"/>
  <c r="H145" i="4"/>
  <c r="R145" i="4"/>
  <c r="K145" i="4"/>
  <c r="L145" i="4"/>
  <c r="D146" i="4"/>
  <c r="E146" i="4" s="1"/>
  <c r="F146" i="4" s="1"/>
  <c r="S48" i="5" s="1"/>
  <c r="G146" i="4"/>
  <c r="H146" i="4"/>
  <c r="R146" i="4"/>
  <c r="K146" i="4"/>
  <c r="L146" i="4"/>
  <c r="D147" i="4"/>
  <c r="E147" i="4" s="1"/>
  <c r="F147" i="4" s="1"/>
  <c r="S40" i="5" s="1"/>
  <c r="G147" i="4"/>
  <c r="H147" i="4"/>
  <c r="I147" i="4"/>
  <c r="T40" i="5" s="1"/>
  <c r="R147" i="4"/>
  <c r="K147" i="4"/>
  <c r="L147" i="4"/>
  <c r="D148" i="4"/>
  <c r="E148" i="4"/>
  <c r="F148" i="4"/>
  <c r="S49" i="5"/>
  <c r="G148" i="4"/>
  <c r="H148" i="4"/>
  <c r="R148" i="4"/>
  <c r="K148" i="4"/>
  <c r="L148" i="4"/>
  <c r="D3" i="4"/>
  <c r="E3" i="4"/>
  <c r="F3" i="4"/>
  <c r="S31" i="5" s="1"/>
  <c r="G3" i="4"/>
  <c r="H3" i="4"/>
  <c r="R3" i="4"/>
  <c r="O6" i="75"/>
  <c r="E30" i="5"/>
  <c r="N7" i="75"/>
  <c r="G8" i="75"/>
  <c r="P8" i="75" s="1"/>
  <c r="F33" i="5" s="1"/>
  <c r="N14" i="75"/>
  <c r="G16" i="75"/>
  <c r="D20" i="75"/>
  <c r="H20" i="75"/>
  <c r="K20" i="75"/>
  <c r="F20" i="75"/>
  <c r="I20" i="75"/>
  <c r="L20" i="75" s="1"/>
  <c r="J20" i="75"/>
  <c r="M20" i="75" s="1"/>
  <c r="D21" i="75"/>
  <c r="H21" i="75"/>
  <c r="K21" i="75"/>
  <c r="O21" i="75" s="1"/>
  <c r="F21" i="75"/>
  <c r="I21" i="75"/>
  <c r="L21" i="75" s="1"/>
  <c r="J21" i="75"/>
  <c r="M21" i="75" s="1"/>
  <c r="D22" i="75"/>
  <c r="H22" i="75"/>
  <c r="K22" i="75"/>
  <c r="F22" i="75"/>
  <c r="I22" i="75"/>
  <c r="L22" i="75" s="1"/>
  <c r="N22" i="75" s="1"/>
  <c r="J22" i="75"/>
  <c r="M22" i="75" s="1"/>
  <c r="D23" i="75"/>
  <c r="H23" i="75"/>
  <c r="K23" i="75"/>
  <c r="F23" i="75"/>
  <c r="I23" i="75"/>
  <c r="L23" i="75" s="1"/>
  <c r="N23" i="75" s="1"/>
  <c r="J23" i="75"/>
  <c r="M23" i="75"/>
  <c r="D24" i="75"/>
  <c r="H24" i="75"/>
  <c r="K24" i="75"/>
  <c r="F24" i="75"/>
  <c r="I24" i="75"/>
  <c r="L24" i="75" s="1"/>
  <c r="N24" i="75" s="1"/>
  <c r="J24" i="75"/>
  <c r="M24" i="75" s="1"/>
  <c r="D25" i="75"/>
  <c r="H25" i="75"/>
  <c r="K25" i="75" s="1"/>
  <c r="F25" i="75"/>
  <c r="I25" i="75"/>
  <c r="L25" i="75" s="1"/>
  <c r="J25" i="75"/>
  <c r="M25" i="75"/>
  <c r="D26" i="75"/>
  <c r="H26" i="75"/>
  <c r="K26" i="75" s="1"/>
  <c r="F26" i="75"/>
  <c r="I26" i="75"/>
  <c r="L26" i="75" s="1"/>
  <c r="J26" i="75"/>
  <c r="M26" i="75"/>
  <c r="D27" i="75"/>
  <c r="H27" i="75"/>
  <c r="K27" i="75" s="1"/>
  <c r="F27" i="75"/>
  <c r="I27" i="75"/>
  <c r="L27" i="75" s="1"/>
  <c r="J27" i="75"/>
  <c r="M27" i="75"/>
  <c r="D28" i="75"/>
  <c r="H28" i="75"/>
  <c r="K28" i="75"/>
  <c r="F28" i="75"/>
  <c r="I28" i="75"/>
  <c r="L28" i="75" s="1"/>
  <c r="N28" i="75" s="1"/>
  <c r="J28" i="75"/>
  <c r="M28" i="75"/>
  <c r="D29" i="75"/>
  <c r="H29" i="75"/>
  <c r="K29" i="75" s="1"/>
  <c r="F29" i="75"/>
  <c r="I29" i="75"/>
  <c r="L29" i="75" s="1"/>
  <c r="N29" i="75" s="1"/>
  <c r="J29" i="75"/>
  <c r="M29" i="75" s="1"/>
  <c r="D30" i="75"/>
  <c r="H30" i="75"/>
  <c r="K30" i="75"/>
  <c r="F30" i="75"/>
  <c r="I30" i="75"/>
  <c r="L30" i="75" s="1"/>
  <c r="J30" i="75"/>
  <c r="M30" i="75" s="1"/>
  <c r="D31" i="75"/>
  <c r="H31" i="75"/>
  <c r="K31" i="75"/>
  <c r="F31" i="75"/>
  <c r="I31" i="75"/>
  <c r="L31" i="75" s="1"/>
  <c r="J31" i="75"/>
  <c r="M31" i="75" s="1"/>
  <c r="D32" i="75"/>
  <c r="H32" i="75"/>
  <c r="K32" i="75"/>
  <c r="F32" i="75"/>
  <c r="I32" i="75"/>
  <c r="L32" i="75" s="1"/>
  <c r="J32" i="75"/>
  <c r="M32" i="75"/>
  <c r="D33" i="75"/>
  <c r="H33" i="75"/>
  <c r="K33" i="75" s="1"/>
  <c r="F33" i="75"/>
  <c r="I33" i="75"/>
  <c r="L33" i="75" s="1"/>
  <c r="J33" i="75"/>
  <c r="M33" i="75" s="1"/>
  <c r="D34" i="75"/>
  <c r="H34" i="75"/>
  <c r="K34" i="75" s="1"/>
  <c r="F34" i="75"/>
  <c r="I34" i="75"/>
  <c r="L34" i="75" s="1"/>
  <c r="J34" i="75"/>
  <c r="M34" i="75"/>
  <c r="D35" i="75"/>
  <c r="H35" i="75"/>
  <c r="K35" i="75"/>
  <c r="F35" i="75"/>
  <c r="I35" i="75"/>
  <c r="L35" i="75" s="1"/>
  <c r="J35" i="75"/>
  <c r="M35" i="75"/>
  <c r="D36" i="75"/>
  <c r="H36" i="75"/>
  <c r="K36" i="75" s="1"/>
  <c r="F36" i="75"/>
  <c r="I36" i="75"/>
  <c r="L36" i="75" s="1"/>
  <c r="N36" i="75" s="1"/>
  <c r="J36" i="75"/>
  <c r="M36" i="75"/>
  <c r="D37" i="75"/>
  <c r="H37" i="75"/>
  <c r="K37" i="75"/>
  <c r="F37" i="75"/>
  <c r="I37" i="75"/>
  <c r="L37" i="75" s="1"/>
  <c r="J37" i="75"/>
  <c r="M37" i="75" s="1"/>
  <c r="D38" i="75"/>
  <c r="H38" i="75"/>
  <c r="K38" i="75"/>
  <c r="F38" i="75"/>
  <c r="I38" i="75"/>
  <c r="L38" i="75" s="1"/>
  <c r="N38" i="75" s="1"/>
  <c r="J38" i="75"/>
  <c r="M38" i="75" s="1"/>
  <c r="D39" i="75"/>
  <c r="H39" i="75"/>
  <c r="K39" i="75" s="1"/>
  <c r="O39" i="75" s="1"/>
  <c r="E94" i="5" s="1"/>
  <c r="F39" i="75"/>
  <c r="I39" i="75"/>
  <c r="L39" i="75" s="1"/>
  <c r="N39" i="75" s="1"/>
  <c r="J39" i="75"/>
  <c r="M39" i="75" s="1"/>
  <c r="D40" i="75"/>
  <c r="H40" i="75"/>
  <c r="K40" i="75"/>
  <c r="F40" i="75"/>
  <c r="I40" i="75"/>
  <c r="L40" i="75" s="1"/>
  <c r="J40" i="75"/>
  <c r="M40" i="75" s="1"/>
  <c r="D41" i="75"/>
  <c r="H41" i="75"/>
  <c r="K41" i="75"/>
  <c r="F41" i="75"/>
  <c r="I41" i="75"/>
  <c r="L41" i="75" s="1"/>
  <c r="J41" i="75"/>
  <c r="M41" i="75" s="1"/>
  <c r="D42" i="75"/>
  <c r="H42" i="75"/>
  <c r="K42" i="75"/>
  <c r="F42" i="75"/>
  <c r="I42" i="75"/>
  <c r="L42" i="75" s="1"/>
  <c r="J42" i="75"/>
  <c r="M42" i="75"/>
  <c r="D43" i="75"/>
  <c r="H43" i="75"/>
  <c r="K43" i="75" s="1"/>
  <c r="O43" i="75" s="1"/>
  <c r="F43" i="75"/>
  <c r="I43" i="75"/>
  <c r="L43" i="75" s="1"/>
  <c r="J43" i="75"/>
  <c r="M43" i="75" s="1"/>
  <c r="D44" i="75"/>
  <c r="H44" i="75"/>
  <c r="K44" i="75" s="1"/>
  <c r="F44" i="75"/>
  <c r="I44" i="75"/>
  <c r="L44" i="75" s="1"/>
  <c r="J44" i="75"/>
  <c r="M44" i="75"/>
  <c r="D45" i="75"/>
  <c r="H45" i="75"/>
  <c r="K45" i="75" s="1"/>
  <c r="F45" i="75"/>
  <c r="I45" i="75"/>
  <c r="L45" i="75" s="1"/>
  <c r="J45" i="75"/>
  <c r="M45" i="75" s="1"/>
  <c r="D46" i="75"/>
  <c r="H46" i="75"/>
  <c r="K46" i="75" s="1"/>
  <c r="F46" i="75"/>
  <c r="I46" i="75"/>
  <c r="L46" i="75" s="1"/>
  <c r="J46" i="75"/>
  <c r="M46" i="75"/>
  <c r="D47" i="75"/>
  <c r="H47" i="75"/>
  <c r="K47" i="75"/>
  <c r="F47" i="75"/>
  <c r="I47" i="75"/>
  <c r="L47" i="75" s="1"/>
  <c r="J47" i="75"/>
  <c r="M47" i="75"/>
  <c r="D48" i="75"/>
  <c r="H48" i="75"/>
  <c r="K48" i="75" s="1"/>
  <c r="F48" i="75"/>
  <c r="I48" i="75"/>
  <c r="L48" i="75" s="1"/>
  <c r="N48" i="75" s="1"/>
  <c r="J48" i="75"/>
  <c r="M48" i="75"/>
  <c r="D49" i="75"/>
  <c r="H49" i="75"/>
  <c r="K49" i="75" s="1"/>
  <c r="F49" i="75"/>
  <c r="I49" i="75"/>
  <c r="L49" i="75" s="1"/>
  <c r="N49" i="75" s="1"/>
  <c r="J49" i="75"/>
  <c r="M49" i="75" s="1"/>
  <c r="D50" i="75"/>
  <c r="H50" i="75"/>
  <c r="K50" i="75"/>
  <c r="F50" i="75"/>
  <c r="I50" i="75"/>
  <c r="L50" i="75" s="1"/>
  <c r="N50" i="75" s="1"/>
  <c r="J50" i="75"/>
  <c r="M50" i="75" s="1"/>
  <c r="D51" i="75"/>
  <c r="H51" i="75"/>
  <c r="K51" i="75"/>
  <c r="O51" i="75" s="1"/>
  <c r="F51" i="75"/>
  <c r="I51" i="75"/>
  <c r="L51" i="75" s="1"/>
  <c r="J51" i="75"/>
  <c r="M51" i="75" s="1"/>
  <c r="D52" i="75"/>
  <c r="H52" i="75"/>
  <c r="K52" i="75"/>
  <c r="F52" i="75"/>
  <c r="I52" i="75"/>
  <c r="L52" i="75" s="1"/>
  <c r="J52" i="75"/>
  <c r="M52" i="75" s="1"/>
  <c r="D53" i="75"/>
  <c r="H53" i="75"/>
  <c r="K53" i="75" s="1"/>
  <c r="F53" i="75"/>
  <c r="I53" i="75"/>
  <c r="L53" i="75" s="1"/>
  <c r="J53" i="75"/>
  <c r="M53" i="75"/>
  <c r="D54" i="75"/>
  <c r="H54" i="75"/>
  <c r="K54" i="75" s="1"/>
  <c r="F54" i="75"/>
  <c r="I54" i="75"/>
  <c r="L54" i="75" s="1"/>
  <c r="J54" i="75"/>
  <c r="M54" i="75"/>
  <c r="D55" i="75"/>
  <c r="H55" i="75"/>
  <c r="K55" i="75" s="1"/>
  <c r="F55" i="75"/>
  <c r="I55" i="75"/>
  <c r="L55" i="75" s="1"/>
  <c r="J55" i="75"/>
  <c r="M55" i="75"/>
  <c r="D56" i="75"/>
  <c r="H56" i="75"/>
  <c r="K56" i="75" s="1"/>
  <c r="F56" i="75"/>
  <c r="I56" i="75"/>
  <c r="L56" i="75" s="1"/>
  <c r="J56" i="75"/>
  <c r="M56" i="75"/>
  <c r="D57" i="75"/>
  <c r="H57" i="75"/>
  <c r="K57" i="75"/>
  <c r="F57" i="75"/>
  <c r="I57" i="75"/>
  <c r="L57" i="75" s="1"/>
  <c r="J57" i="75"/>
  <c r="M57" i="75" s="1"/>
  <c r="D58" i="75"/>
  <c r="H58" i="75"/>
  <c r="K58" i="75" s="1"/>
  <c r="F58" i="75"/>
  <c r="I58" i="75"/>
  <c r="L58" i="75" s="1"/>
  <c r="N58" i="75" s="1"/>
  <c r="J58" i="75"/>
  <c r="M58" i="75" s="1"/>
  <c r="D59" i="75"/>
  <c r="H59" i="75"/>
  <c r="K59" i="75"/>
  <c r="F59" i="75"/>
  <c r="I59" i="75"/>
  <c r="L59" i="75" s="1"/>
  <c r="N59" i="75" s="1"/>
  <c r="J59" i="75"/>
  <c r="M59" i="75" s="1"/>
  <c r="D60" i="75"/>
  <c r="H60" i="75"/>
  <c r="K60" i="75"/>
  <c r="F60" i="75"/>
  <c r="I60" i="75"/>
  <c r="L60" i="75" s="1"/>
  <c r="J60" i="75"/>
  <c r="M60" i="75" s="1"/>
  <c r="D61" i="75"/>
  <c r="H61" i="75"/>
  <c r="K61" i="75" s="1"/>
  <c r="F61" i="75"/>
  <c r="I61" i="75"/>
  <c r="L61" i="75" s="1"/>
  <c r="J61" i="75"/>
  <c r="M61" i="75" s="1"/>
  <c r="D62" i="75"/>
  <c r="O62" i="75" s="1"/>
  <c r="H62" i="75"/>
  <c r="K62" i="75" s="1"/>
  <c r="F62" i="75"/>
  <c r="I62" i="75"/>
  <c r="L62" i="75" s="1"/>
  <c r="J62" i="75"/>
  <c r="M62" i="75"/>
  <c r="D63" i="75"/>
  <c r="O63" i="75" s="1"/>
  <c r="E116" i="5" s="1"/>
  <c r="H63" i="75"/>
  <c r="K63" i="75"/>
  <c r="F63" i="75"/>
  <c r="I63" i="75"/>
  <c r="L63" i="75" s="1"/>
  <c r="J63" i="75"/>
  <c r="M63" i="75" s="1"/>
  <c r="D64" i="75"/>
  <c r="H64" i="75"/>
  <c r="K64" i="75" s="1"/>
  <c r="F64" i="75"/>
  <c r="I64" i="75"/>
  <c r="L64" i="75" s="1"/>
  <c r="J64" i="75"/>
  <c r="M64" i="75" s="1"/>
  <c r="D65" i="75"/>
  <c r="H65" i="75"/>
  <c r="K65" i="75" s="1"/>
  <c r="F65" i="75"/>
  <c r="I65" i="75"/>
  <c r="L65" i="75" s="1"/>
  <c r="J65" i="75"/>
  <c r="M65" i="75"/>
  <c r="D66" i="75"/>
  <c r="O66" i="75" s="1"/>
  <c r="H66" i="75"/>
  <c r="K66" i="75" s="1"/>
  <c r="F66" i="75"/>
  <c r="I66" i="75"/>
  <c r="L66" i="75" s="1"/>
  <c r="J66" i="75"/>
  <c r="M66" i="75"/>
  <c r="D67" i="75"/>
  <c r="H67" i="75"/>
  <c r="K67" i="75" s="1"/>
  <c r="F67" i="75"/>
  <c r="I67" i="75"/>
  <c r="L67" i="75" s="1"/>
  <c r="J67" i="75"/>
  <c r="M67" i="75"/>
  <c r="D68" i="75"/>
  <c r="H68" i="75"/>
  <c r="K68" i="75"/>
  <c r="F68" i="75"/>
  <c r="I68" i="75"/>
  <c r="L68" i="75" s="1"/>
  <c r="J68" i="75"/>
  <c r="M68" i="75" s="1"/>
  <c r="D69" i="75"/>
  <c r="H69" i="75"/>
  <c r="K69" i="75"/>
  <c r="F69" i="75"/>
  <c r="I69" i="75"/>
  <c r="L69" i="75" s="1"/>
  <c r="N69" i="75" s="1"/>
  <c r="J69" i="75"/>
  <c r="M69" i="75" s="1"/>
  <c r="D70" i="75"/>
  <c r="H70" i="75"/>
  <c r="K70" i="75"/>
  <c r="F70" i="75"/>
  <c r="I70" i="75"/>
  <c r="L70" i="75" s="1"/>
  <c r="N70" i="75" s="1"/>
  <c r="J70" i="75"/>
  <c r="M70" i="75" s="1"/>
  <c r="D71" i="75"/>
  <c r="H71" i="75"/>
  <c r="K71" i="75"/>
  <c r="F71" i="75"/>
  <c r="I71" i="75"/>
  <c r="L71" i="75" s="1"/>
  <c r="J71" i="75"/>
  <c r="M71" i="75"/>
  <c r="D72" i="75"/>
  <c r="H72" i="75"/>
  <c r="K72" i="75" s="1"/>
  <c r="F72" i="75"/>
  <c r="I72" i="75"/>
  <c r="L72" i="75" s="1"/>
  <c r="J72" i="75"/>
  <c r="M72" i="75" s="1"/>
  <c r="D73" i="75"/>
  <c r="H73" i="75"/>
  <c r="K73" i="75" s="1"/>
  <c r="F73" i="75"/>
  <c r="I73" i="75"/>
  <c r="L73" i="75" s="1"/>
  <c r="J73" i="75"/>
  <c r="M73" i="75" s="1"/>
  <c r="D74" i="75"/>
  <c r="H74" i="75"/>
  <c r="K74" i="75" s="1"/>
  <c r="F74" i="75"/>
  <c r="I74" i="75"/>
  <c r="L74" i="75" s="1"/>
  <c r="J74" i="75"/>
  <c r="M74" i="75"/>
  <c r="D75" i="75"/>
  <c r="H75" i="75"/>
  <c r="K75" i="75"/>
  <c r="F75" i="75"/>
  <c r="I75" i="75"/>
  <c r="L75" i="75" s="1"/>
  <c r="J75" i="75"/>
  <c r="M75" i="75"/>
  <c r="D76" i="75"/>
  <c r="H76" i="75"/>
  <c r="K76" i="75" s="1"/>
  <c r="F76" i="75"/>
  <c r="I76" i="75"/>
  <c r="L76" i="75" s="1"/>
  <c r="J76" i="75"/>
  <c r="M76" i="75" s="1"/>
  <c r="D77" i="75"/>
  <c r="H77" i="75"/>
  <c r="K77" i="75"/>
  <c r="F77" i="75"/>
  <c r="I77" i="75"/>
  <c r="L77" i="75" s="1"/>
  <c r="J77" i="75"/>
  <c r="M77" i="75"/>
  <c r="D78" i="75"/>
  <c r="H78" i="75"/>
  <c r="K78" i="75" s="1"/>
  <c r="F78" i="75"/>
  <c r="I78" i="75"/>
  <c r="L78" i="75" s="1"/>
  <c r="J78" i="75"/>
  <c r="M78" i="75" s="1"/>
  <c r="D79" i="75"/>
  <c r="H79" i="75"/>
  <c r="K79" i="75" s="1"/>
  <c r="F79" i="75"/>
  <c r="I79" i="75"/>
  <c r="L79" i="75" s="1"/>
  <c r="N79" i="75" s="1"/>
  <c r="J79" i="75"/>
  <c r="M79" i="75" s="1"/>
  <c r="D80" i="75"/>
  <c r="H80" i="75"/>
  <c r="K80" i="75"/>
  <c r="F80" i="75"/>
  <c r="I80" i="75"/>
  <c r="L80" i="75" s="1"/>
  <c r="J80" i="75"/>
  <c r="M80" i="75" s="1"/>
  <c r="D81" i="75"/>
  <c r="H81" i="75"/>
  <c r="K81" i="75"/>
  <c r="F81" i="75"/>
  <c r="I81" i="75"/>
  <c r="L81" i="75" s="1"/>
  <c r="J81" i="75"/>
  <c r="M81" i="75" s="1"/>
  <c r="D82" i="75"/>
  <c r="H82" i="75"/>
  <c r="K82" i="75" s="1"/>
  <c r="F82" i="75"/>
  <c r="I82" i="75"/>
  <c r="L82" i="75" s="1"/>
  <c r="J82" i="75"/>
  <c r="M82" i="75"/>
  <c r="D83" i="75"/>
  <c r="H83" i="75"/>
  <c r="K83" i="75" s="1"/>
  <c r="F83" i="75"/>
  <c r="I83" i="75"/>
  <c r="L83" i="75" s="1"/>
  <c r="J83" i="75"/>
  <c r="M83" i="75"/>
  <c r="D84" i="75"/>
  <c r="H84" i="75"/>
  <c r="K84" i="75" s="1"/>
  <c r="F84" i="75"/>
  <c r="I84" i="75"/>
  <c r="L84" i="75" s="1"/>
  <c r="J84" i="75"/>
  <c r="M84" i="75"/>
  <c r="D85" i="75"/>
  <c r="H85" i="75"/>
  <c r="K85" i="75" s="1"/>
  <c r="O85" i="75" s="1"/>
  <c r="E115" i="5" s="1"/>
  <c r="F85" i="75"/>
  <c r="I85" i="75"/>
  <c r="L85" i="75" s="1"/>
  <c r="J85" i="75"/>
  <c r="M85" i="75" s="1"/>
  <c r="D86" i="75"/>
  <c r="H86" i="75"/>
  <c r="K86" i="75" s="1"/>
  <c r="F86" i="75"/>
  <c r="I86" i="75"/>
  <c r="L86" i="75" s="1"/>
  <c r="J86" i="75"/>
  <c r="M86" i="75"/>
  <c r="D87" i="75"/>
  <c r="H87" i="75"/>
  <c r="K87" i="75" s="1"/>
  <c r="F87" i="75"/>
  <c r="I87" i="75"/>
  <c r="L87" i="75" s="1"/>
  <c r="J87" i="75"/>
  <c r="M87" i="75"/>
  <c r="D88" i="75"/>
  <c r="H88" i="75"/>
  <c r="K88" i="75" s="1"/>
  <c r="F88" i="75"/>
  <c r="I88" i="75"/>
  <c r="L88" i="75" s="1"/>
  <c r="J88" i="75"/>
  <c r="M88" i="75" s="1"/>
  <c r="G89" i="75"/>
  <c r="G91" i="75"/>
  <c r="G93" i="75"/>
  <c r="D94" i="75"/>
  <c r="H94" i="75"/>
  <c r="K94" i="75" s="1"/>
  <c r="F94" i="75"/>
  <c r="I94" i="75"/>
  <c r="L94" i="75" s="1"/>
  <c r="J94" i="75"/>
  <c r="M94" i="75"/>
  <c r="D95" i="75"/>
  <c r="H95" i="75"/>
  <c r="K95" i="75"/>
  <c r="F95" i="75"/>
  <c r="I95" i="75"/>
  <c r="L95" i="75" s="1"/>
  <c r="J95" i="75"/>
  <c r="M95" i="75"/>
  <c r="D96" i="75"/>
  <c r="H96" i="75"/>
  <c r="K96" i="75" s="1"/>
  <c r="F96" i="75"/>
  <c r="I96" i="75"/>
  <c r="L96" i="75" s="1"/>
  <c r="J96" i="75"/>
  <c r="M96" i="75" s="1"/>
  <c r="D97" i="75"/>
  <c r="H97" i="75"/>
  <c r="K97" i="75" s="1"/>
  <c r="O97" i="75" s="1"/>
  <c r="E71" i="5" s="1"/>
  <c r="F97" i="75"/>
  <c r="I97" i="75"/>
  <c r="L97" i="75" s="1"/>
  <c r="J97" i="75"/>
  <c r="M97" i="75"/>
  <c r="D98" i="75"/>
  <c r="H98" i="75"/>
  <c r="K98" i="75"/>
  <c r="F98" i="75"/>
  <c r="I98" i="75"/>
  <c r="L98" i="75" s="1"/>
  <c r="J98" i="75"/>
  <c r="M98" i="75" s="1"/>
  <c r="D99" i="75"/>
  <c r="H99" i="75"/>
  <c r="K99" i="75" s="1"/>
  <c r="F99" i="75"/>
  <c r="I99" i="75"/>
  <c r="L99" i="75" s="1"/>
  <c r="N99" i="75" s="1"/>
  <c r="J99" i="75"/>
  <c r="M99" i="75" s="1"/>
  <c r="D100" i="75"/>
  <c r="H100" i="75"/>
  <c r="K100" i="75"/>
  <c r="F100" i="75"/>
  <c r="I100" i="75"/>
  <c r="L100" i="75" s="1"/>
  <c r="J100" i="75"/>
  <c r="M100" i="75" s="1"/>
  <c r="D101" i="75"/>
  <c r="H101" i="75"/>
  <c r="K101" i="75"/>
  <c r="F101" i="75"/>
  <c r="I101" i="75"/>
  <c r="L101" i="75" s="1"/>
  <c r="J101" i="75"/>
  <c r="M101" i="75" s="1"/>
  <c r="D102" i="75"/>
  <c r="H102" i="75"/>
  <c r="K102" i="75" s="1"/>
  <c r="F102" i="75"/>
  <c r="I102" i="75"/>
  <c r="L102" i="75" s="1"/>
  <c r="J102" i="75"/>
  <c r="M102" i="75" s="1"/>
  <c r="D103" i="75"/>
  <c r="H103" i="75"/>
  <c r="K103" i="75" s="1"/>
  <c r="F103" i="75"/>
  <c r="I103" i="75"/>
  <c r="L103" i="75" s="1"/>
  <c r="J103" i="75"/>
  <c r="M103" i="75"/>
  <c r="D104" i="75"/>
  <c r="H104" i="75"/>
  <c r="K104" i="75" s="1"/>
  <c r="F104" i="75"/>
  <c r="I104" i="75"/>
  <c r="L104" i="75" s="1"/>
  <c r="J104" i="75"/>
  <c r="M104" i="75"/>
  <c r="D105" i="75"/>
  <c r="H105" i="75"/>
  <c r="K105" i="75" s="1"/>
  <c r="F105" i="75"/>
  <c r="I105" i="75"/>
  <c r="L105" i="75" s="1"/>
  <c r="J105" i="75"/>
  <c r="M105" i="75"/>
  <c r="D106" i="75"/>
  <c r="H106" i="75"/>
  <c r="K106" i="75"/>
  <c r="F106" i="75"/>
  <c r="I106" i="75"/>
  <c r="L106" i="75" s="1"/>
  <c r="J106" i="75"/>
  <c r="M106" i="75" s="1"/>
  <c r="D107" i="75"/>
  <c r="H107" i="75"/>
  <c r="K107" i="75"/>
  <c r="F107" i="75"/>
  <c r="I107" i="75"/>
  <c r="L107" i="75" s="1"/>
  <c r="N107" i="75" s="1"/>
  <c r="J107" i="75"/>
  <c r="M107" i="75" s="1"/>
  <c r="D108" i="75"/>
  <c r="H108" i="75"/>
  <c r="K108" i="75"/>
  <c r="F108" i="75"/>
  <c r="I108" i="75"/>
  <c r="L108" i="75" s="1"/>
  <c r="N108" i="75" s="1"/>
  <c r="J108" i="75"/>
  <c r="M108" i="75" s="1"/>
  <c r="D109" i="75"/>
  <c r="H109" i="75"/>
  <c r="K109" i="75"/>
  <c r="F109" i="75"/>
  <c r="I109" i="75"/>
  <c r="L109" i="75" s="1"/>
  <c r="J109" i="75"/>
  <c r="M109" i="75"/>
  <c r="D110" i="75"/>
  <c r="H110" i="75"/>
  <c r="K110" i="75" s="1"/>
  <c r="F110" i="75"/>
  <c r="I110" i="75"/>
  <c r="L110" i="75" s="1"/>
  <c r="J110" i="75"/>
  <c r="M110" i="75" s="1"/>
  <c r="D111" i="75"/>
  <c r="H111" i="75"/>
  <c r="K111" i="75" s="1"/>
  <c r="F111" i="75"/>
  <c r="I111" i="75"/>
  <c r="L111" i="75" s="1"/>
  <c r="J111" i="75"/>
  <c r="M111" i="75" s="1"/>
  <c r="D112" i="75"/>
  <c r="O112" i="75" s="1"/>
  <c r="E136" i="5" s="1"/>
  <c r="H112" i="75"/>
  <c r="K112" i="75" s="1"/>
  <c r="F112" i="75"/>
  <c r="I112" i="75"/>
  <c r="L112" i="75" s="1"/>
  <c r="J112" i="75"/>
  <c r="M112" i="75" s="1"/>
  <c r="D113" i="75"/>
  <c r="H113" i="75"/>
  <c r="K113" i="75" s="1"/>
  <c r="F113" i="75"/>
  <c r="I113" i="75"/>
  <c r="L113" i="75" s="1"/>
  <c r="J113" i="75"/>
  <c r="M113" i="75" s="1"/>
  <c r="D114" i="75"/>
  <c r="H114" i="75"/>
  <c r="K114" i="75" s="1"/>
  <c r="F114" i="75"/>
  <c r="I114" i="75"/>
  <c r="L114" i="75" s="1"/>
  <c r="J114" i="75"/>
  <c r="M114" i="75"/>
  <c r="D115" i="75"/>
  <c r="H115" i="75"/>
  <c r="K115" i="75"/>
  <c r="F115" i="75"/>
  <c r="I115" i="75"/>
  <c r="L115" i="75" s="1"/>
  <c r="J115" i="75"/>
  <c r="M115" i="75"/>
  <c r="D116" i="75"/>
  <c r="H116" i="75"/>
  <c r="K116" i="75" s="1"/>
  <c r="F116" i="75"/>
  <c r="I116" i="75"/>
  <c r="L116" i="75" s="1"/>
  <c r="J116" i="75"/>
  <c r="M116" i="75" s="1"/>
  <c r="D117" i="75"/>
  <c r="H117" i="75"/>
  <c r="K117" i="75"/>
  <c r="F117" i="75"/>
  <c r="I117" i="75"/>
  <c r="L117" i="75" s="1"/>
  <c r="J117" i="75"/>
  <c r="M117" i="75" s="1"/>
  <c r="D118" i="75"/>
  <c r="H118" i="75"/>
  <c r="K118" i="75"/>
  <c r="F118" i="75"/>
  <c r="I118" i="75"/>
  <c r="L118" i="75" s="1"/>
  <c r="J118" i="75"/>
  <c r="M118" i="75" s="1"/>
  <c r="D119" i="75"/>
  <c r="H119" i="75"/>
  <c r="K119" i="75"/>
  <c r="F119" i="75"/>
  <c r="I119" i="75"/>
  <c r="L119" i="75" s="1"/>
  <c r="J119" i="75"/>
  <c r="M119" i="75"/>
  <c r="D120" i="75"/>
  <c r="H120" i="75"/>
  <c r="K120" i="75" s="1"/>
  <c r="F120" i="75"/>
  <c r="I120" i="75"/>
  <c r="L120" i="75" s="1"/>
  <c r="N120" i="75" s="1"/>
  <c r="J120" i="75"/>
  <c r="M120" i="75"/>
  <c r="D121" i="75"/>
  <c r="H121" i="75"/>
  <c r="K121" i="75" s="1"/>
  <c r="F121" i="75"/>
  <c r="I121" i="75"/>
  <c r="L121" i="75" s="1"/>
  <c r="J121" i="75"/>
  <c r="M121" i="75" s="1"/>
  <c r="D122" i="75"/>
  <c r="H122" i="75"/>
  <c r="K122" i="75" s="1"/>
  <c r="F122" i="75"/>
  <c r="I122" i="75"/>
  <c r="L122" i="75" s="1"/>
  <c r="J122" i="75"/>
  <c r="M122" i="75"/>
  <c r="D123" i="75"/>
  <c r="H123" i="75"/>
  <c r="K123" i="75" s="1"/>
  <c r="F123" i="75"/>
  <c r="I123" i="75"/>
  <c r="L123" i="75" s="1"/>
  <c r="J123" i="75"/>
  <c r="M123" i="75"/>
  <c r="D124" i="75"/>
  <c r="H124" i="75"/>
  <c r="K124" i="75" s="1"/>
  <c r="F124" i="75"/>
  <c r="I124" i="75"/>
  <c r="L124" i="75" s="1"/>
  <c r="J124" i="75"/>
  <c r="M124" i="75" s="1"/>
  <c r="D125" i="75"/>
  <c r="H125" i="75"/>
  <c r="K125" i="75" s="1"/>
  <c r="F125" i="75"/>
  <c r="I125" i="75"/>
  <c r="L125" i="75" s="1"/>
  <c r="N125" i="75" s="1"/>
  <c r="J125" i="75"/>
  <c r="M125" i="75" s="1"/>
  <c r="D126" i="75"/>
  <c r="H126" i="75"/>
  <c r="K126" i="75"/>
  <c r="F126" i="75"/>
  <c r="I126" i="75"/>
  <c r="L126" i="75" s="1"/>
  <c r="J126" i="75"/>
  <c r="M126" i="75" s="1"/>
  <c r="D127" i="75"/>
  <c r="H127" i="75"/>
  <c r="K127" i="75"/>
  <c r="F127" i="75"/>
  <c r="I127" i="75"/>
  <c r="L127" i="75" s="1"/>
  <c r="N127" i="75" s="1"/>
  <c r="J127" i="75"/>
  <c r="M127" i="75"/>
  <c r="D128" i="75"/>
  <c r="H128" i="75"/>
  <c r="K128" i="75" s="1"/>
  <c r="F128" i="75"/>
  <c r="I128" i="75"/>
  <c r="L128" i="75" s="1"/>
  <c r="J128" i="75"/>
  <c r="M128" i="75"/>
  <c r="D129" i="75"/>
  <c r="H129" i="75"/>
  <c r="K129" i="75" s="1"/>
  <c r="F129" i="75"/>
  <c r="I129" i="75"/>
  <c r="L129" i="75" s="1"/>
  <c r="J129" i="75"/>
  <c r="M129" i="75"/>
  <c r="D130" i="75"/>
  <c r="H130" i="75"/>
  <c r="K130" i="75" s="1"/>
  <c r="F130" i="75"/>
  <c r="I130" i="75"/>
  <c r="L130" i="75" s="1"/>
  <c r="J130" i="75"/>
  <c r="M130" i="75" s="1"/>
  <c r="D131" i="75"/>
  <c r="H131" i="75"/>
  <c r="K131" i="75"/>
  <c r="F131" i="75"/>
  <c r="I131" i="75"/>
  <c r="L131" i="75" s="1"/>
  <c r="J131" i="75"/>
  <c r="M131" i="75"/>
  <c r="D132" i="75"/>
  <c r="H132" i="75"/>
  <c r="K132" i="75"/>
  <c r="F132" i="75"/>
  <c r="I132" i="75"/>
  <c r="L132" i="75" s="1"/>
  <c r="J132" i="75"/>
  <c r="M132" i="75" s="1"/>
  <c r="D133" i="75"/>
  <c r="O133" i="75" s="1"/>
  <c r="H133" i="75"/>
  <c r="K133" i="75"/>
  <c r="F133" i="75"/>
  <c r="I133" i="75"/>
  <c r="L133" i="75" s="1"/>
  <c r="N133" i="75" s="1"/>
  <c r="J133" i="75"/>
  <c r="M133" i="75" s="1"/>
  <c r="D134" i="75"/>
  <c r="H134" i="75"/>
  <c r="K134" i="75" s="1"/>
  <c r="F134" i="75"/>
  <c r="I134" i="75"/>
  <c r="L134" i="75" s="1"/>
  <c r="J134" i="75"/>
  <c r="M134" i="75" s="1"/>
  <c r="D135" i="75"/>
  <c r="H135" i="75"/>
  <c r="K135" i="75" s="1"/>
  <c r="F135" i="75"/>
  <c r="I135" i="75"/>
  <c r="L135" i="75" s="1"/>
  <c r="J135" i="75"/>
  <c r="M135" i="75" s="1"/>
  <c r="D136" i="75"/>
  <c r="H136" i="75"/>
  <c r="K136" i="75" s="1"/>
  <c r="F136" i="75"/>
  <c r="I136" i="75"/>
  <c r="L136" i="75" s="1"/>
  <c r="N136" i="75" s="1"/>
  <c r="J136" i="75"/>
  <c r="M136" i="75"/>
  <c r="D137" i="75"/>
  <c r="H137" i="75"/>
  <c r="K137" i="75"/>
  <c r="F137" i="75"/>
  <c r="I137" i="75"/>
  <c r="L137" i="75" s="1"/>
  <c r="N137" i="75" s="1"/>
  <c r="J137" i="75"/>
  <c r="M137" i="75" s="1"/>
  <c r="D138" i="75"/>
  <c r="H138" i="75"/>
  <c r="K138" i="75" s="1"/>
  <c r="F138" i="75"/>
  <c r="I138" i="75"/>
  <c r="L138" i="75" s="1"/>
  <c r="N138" i="75" s="1"/>
  <c r="J138" i="75"/>
  <c r="M138" i="75"/>
  <c r="D139" i="75"/>
  <c r="H139" i="75"/>
  <c r="K139" i="75" s="1"/>
  <c r="F139" i="75"/>
  <c r="I139" i="75"/>
  <c r="L139" i="75" s="1"/>
  <c r="J139" i="75"/>
  <c r="M139" i="75"/>
  <c r="D140" i="75"/>
  <c r="H140" i="75"/>
  <c r="K140" i="75" s="1"/>
  <c r="F140" i="75"/>
  <c r="I140" i="75"/>
  <c r="L140" i="75" s="1"/>
  <c r="J140" i="75"/>
  <c r="M140" i="75"/>
  <c r="D141" i="75"/>
  <c r="H141" i="75"/>
  <c r="K141" i="75"/>
  <c r="F141" i="75"/>
  <c r="I141" i="75"/>
  <c r="L141" i="75" s="1"/>
  <c r="J141" i="75"/>
  <c r="M141" i="75" s="1"/>
  <c r="D142" i="75"/>
  <c r="H142" i="75"/>
  <c r="K142" i="75" s="1"/>
  <c r="F142" i="75"/>
  <c r="I142" i="75"/>
  <c r="L142" i="75" s="1"/>
  <c r="J142" i="75"/>
  <c r="M142" i="75" s="1"/>
  <c r="D143" i="75"/>
  <c r="H143" i="75"/>
  <c r="K143" i="75"/>
  <c r="F143" i="75"/>
  <c r="I143" i="75"/>
  <c r="L143" i="75" s="1"/>
  <c r="J143" i="75"/>
  <c r="M143" i="75" s="1"/>
  <c r="D144" i="75"/>
  <c r="H144" i="75"/>
  <c r="K144" i="75"/>
  <c r="F144" i="75"/>
  <c r="I144" i="75"/>
  <c r="L144" i="75" s="1"/>
  <c r="J144" i="75"/>
  <c r="M144" i="75" s="1"/>
  <c r="D145" i="75"/>
  <c r="O145" i="75" s="1"/>
  <c r="H145" i="75"/>
  <c r="K145" i="75"/>
  <c r="F145" i="75"/>
  <c r="I145" i="75"/>
  <c r="L145" i="75" s="1"/>
  <c r="J145" i="75"/>
  <c r="M145" i="75" s="1"/>
  <c r="D146" i="75"/>
  <c r="H146" i="75"/>
  <c r="K146" i="75" s="1"/>
  <c r="F146" i="75"/>
  <c r="I146" i="75"/>
  <c r="L146" i="75" s="1"/>
  <c r="J146" i="75"/>
  <c r="M146" i="75"/>
  <c r="D147" i="75"/>
  <c r="H147" i="75"/>
  <c r="K147" i="75" s="1"/>
  <c r="F147" i="75"/>
  <c r="I147" i="75"/>
  <c r="L147" i="75" s="1"/>
  <c r="J147" i="75"/>
  <c r="M147" i="75" s="1"/>
  <c r="D148" i="75"/>
  <c r="H148" i="75"/>
  <c r="K148" i="75" s="1"/>
  <c r="F148" i="75"/>
  <c r="I148" i="75"/>
  <c r="L148" i="75" s="1"/>
  <c r="J148" i="75"/>
  <c r="M148" i="75"/>
  <c r="AI16" i="4"/>
  <c r="AA17" i="5"/>
  <c r="AI32" i="4"/>
  <c r="AA113" i="5" s="1"/>
  <c r="AI40" i="4"/>
  <c r="AA122" i="5" s="1"/>
  <c r="AI44" i="4"/>
  <c r="AA81" i="5"/>
  <c r="AI56" i="4"/>
  <c r="AA76" i="5"/>
  <c r="AI60" i="4"/>
  <c r="AA124" i="5" s="1"/>
  <c r="AI72" i="4"/>
  <c r="AA78" i="5" s="1"/>
  <c r="AI76" i="4"/>
  <c r="AA42" i="5"/>
  <c r="AI92" i="4"/>
  <c r="AA11" i="5"/>
  <c r="AI96" i="4"/>
  <c r="AA146" i="5" s="1"/>
  <c r="AI112" i="4"/>
  <c r="AA136" i="5" s="1"/>
  <c r="AI120" i="4"/>
  <c r="AA137" i="5"/>
  <c r="AI124" i="4"/>
  <c r="AA143" i="5"/>
  <c r="AI132" i="4"/>
  <c r="AI136" i="4"/>
  <c r="AA141" i="5"/>
  <c r="AI144" i="4"/>
  <c r="AA86" i="5"/>
  <c r="AI148" i="4"/>
  <c r="AA49" i="5" s="1"/>
  <c r="U4" i="4"/>
  <c r="X34" i="5" s="1"/>
  <c r="U5" i="4"/>
  <c r="X32" i="5" s="1"/>
  <c r="U6" i="4"/>
  <c r="X30" i="5"/>
  <c r="U8" i="4"/>
  <c r="X33" i="5" s="1"/>
  <c r="U9" i="4"/>
  <c r="X27" i="5" s="1"/>
  <c r="U10" i="4"/>
  <c r="X28" i="5" s="1"/>
  <c r="U11" i="4"/>
  <c r="X24" i="5"/>
  <c r="U12" i="4"/>
  <c r="X25" i="5" s="1"/>
  <c r="U13" i="4"/>
  <c r="X16" i="5" s="1"/>
  <c r="U14" i="4"/>
  <c r="X15" i="5" s="1"/>
  <c r="U15" i="4"/>
  <c r="X26" i="5"/>
  <c r="U16" i="4"/>
  <c r="X17" i="5" s="1"/>
  <c r="U17" i="4"/>
  <c r="X13" i="5" s="1"/>
  <c r="U18" i="4"/>
  <c r="X18" i="5" s="1"/>
  <c r="U19" i="4"/>
  <c r="X29" i="5"/>
  <c r="U20" i="4"/>
  <c r="X8" i="5" s="1"/>
  <c r="U21" i="4"/>
  <c r="X9" i="5" s="1"/>
  <c r="U22" i="4"/>
  <c r="X52" i="5" s="1"/>
  <c r="U23" i="4"/>
  <c r="X21" i="5"/>
  <c r="U24" i="4"/>
  <c r="X23" i="5" s="1"/>
  <c r="U25" i="4"/>
  <c r="X7" i="5" s="1"/>
  <c r="U26" i="4"/>
  <c r="X22" i="5" s="1"/>
  <c r="U27" i="4"/>
  <c r="X5" i="5"/>
  <c r="U28" i="4"/>
  <c r="X6" i="5" s="1"/>
  <c r="U29" i="4"/>
  <c r="X4" i="5" s="1"/>
  <c r="U30" i="4"/>
  <c r="X19" i="5" s="1"/>
  <c r="U31" i="4"/>
  <c r="X35" i="5"/>
  <c r="U32" i="4"/>
  <c r="X113" i="5" s="1"/>
  <c r="U33" i="4"/>
  <c r="X98" i="5" s="1"/>
  <c r="U34" i="4"/>
  <c r="X37" i="5" s="1"/>
  <c r="U35" i="4"/>
  <c r="X39" i="5"/>
  <c r="U36" i="4"/>
  <c r="X93" i="5" s="1"/>
  <c r="U37" i="4"/>
  <c r="X43" i="5" s="1"/>
  <c r="U38" i="4"/>
  <c r="X123" i="5" s="1"/>
  <c r="U39" i="4"/>
  <c r="X94" i="5"/>
  <c r="U40" i="4"/>
  <c r="X122" i="5" s="1"/>
  <c r="U41" i="4"/>
  <c r="X60" i="5" s="1"/>
  <c r="U42" i="4"/>
  <c r="X112" i="5" s="1"/>
  <c r="U43" i="4"/>
  <c r="X108" i="5"/>
  <c r="U44" i="4"/>
  <c r="X81" i="5" s="1"/>
  <c r="U45" i="4"/>
  <c r="X91" i="5" s="1"/>
  <c r="U46" i="4"/>
  <c r="X106" i="5" s="1"/>
  <c r="U47" i="4"/>
  <c r="X82" i="5"/>
  <c r="U48" i="4"/>
  <c r="X121" i="5" s="1"/>
  <c r="U49" i="4"/>
  <c r="X96" i="5" s="1"/>
  <c r="U50" i="4"/>
  <c r="X66" i="5" s="1"/>
  <c r="U51" i="4"/>
  <c r="X104" i="5"/>
  <c r="U52" i="4"/>
  <c r="X89" i="5" s="1"/>
  <c r="U53" i="4"/>
  <c r="X109" i="5" s="1"/>
  <c r="U54" i="4"/>
  <c r="X46" i="5" s="1"/>
  <c r="U56" i="4"/>
  <c r="X76" i="5"/>
  <c r="U57" i="4"/>
  <c r="X58" i="5" s="1"/>
  <c r="U58" i="4"/>
  <c r="X99" i="5" s="1"/>
  <c r="U59" i="4"/>
  <c r="X85" i="5"/>
  <c r="U60" i="4"/>
  <c r="X124" i="5"/>
  <c r="U61" i="4"/>
  <c r="X103" i="5" s="1"/>
  <c r="U62" i="4"/>
  <c r="X102" i="5" s="1"/>
  <c r="U64" i="4"/>
  <c r="X114" i="5" s="1"/>
  <c r="U65" i="4"/>
  <c r="X100" i="5"/>
  <c r="U66" i="4"/>
  <c r="X67" i="5" s="1"/>
  <c r="U67" i="4"/>
  <c r="X57" i="5" s="1"/>
  <c r="U68" i="4"/>
  <c r="X95" i="5" s="1"/>
  <c r="U69" i="4"/>
  <c r="X128" i="5"/>
  <c r="U70" i="4"/>
  <c r="X44" i="5" s="1"/>
  <c r="U71" i="4"/>
  <c r="X56" i="5" s="1"/>
  <c r="U72" i="4"/>
  <c r="X78" i="5" s="1"/>
  <c r="U73" i="4"/>
  <c r="X87" i="5"/>
  <c r="U74" i="4"/>
  <c r="X90" i="5" s="1"/>
  <c r="U75" i="4"/>
  <c r="U76" i="4"/>
  <c r="U77" i="4"/>
  <c r="X84" i="5"/>
  <c r="U78" i="4"/>
  <c r="X97" i="5"/>
  <c r="U80" i="4"/>
  <c r="X77" i="5" s="1"/>
  <c r="U81" i="4"/>
  <c r="X70" i="5" s="1"/>
  <c r="U82" i="4"/>
  <c r="X80" i="5"/>
  <c r="U83" i="4"/>
  <c r="X64" i="5"/>
  <c r="U84" i="4"/>
  <c r="X117" i="5" s="1"/>
  <c r="U85" i="4"/>
  <c r="X115" i="5" s="1"/>
  <c r="U86" i="4"/>
  <c r="X73" i="5" s="1"/>
  <c r="U88" i="4"/>
  <c r="X119" i="5"/>
  <c r="U89" i="4"/>
  <c r="X10" i="5" s="1"/>
  <c r="U90" i="4"/>
  <c r="X20" i="5" s="1"/>
  <c r="U91" i="4"/>
  <c r="X12" i="5" s="1"/>
  <c r="U92" i="4"/>
  <c r="X11" i="5"/>
  <c r="U93" i="4"/>
  <c r="X36" i="5" s="1"/>
  <c r="U94" i="4"/>
  <c r="X74" i="5" s="1"/>
  <c r="U96" i="4"/>
  <c r="X146" i="5" s="1"/>
  <c r="U97" i="4"/>
  <c r="X71" i="5"/>
  <c r="U98" i="4"/>
  <c r="X134" i="5" s="1"/>
  <c r="U99" i="4"/>
  <c r="U100" i="4"/>
  <c r="X130" i="5" s="1"/>
  <c r="U101" i="4"/>
  <c r="X131" i="5" s="1"/>
  <c r="U102" i="4"/>
  <c r="X147" i="5" s="1"/>
  <c r="U104" i="4"/>
  <c r="X145" i="5"/>
  <c r="U105" i="4"/>
  <c r="X127" i="5" s="1"/>
  <c r="U106" i="4"/>
  <c r="X75" i="5" s="1"/>
  <c r="U107" i="4"/>
  <c r="X51" i="5"/>
  <c r="U108" i="4"/>
  <c r="X54" i="5"/>
  <c r="U109" i="4"/>
  <c r="X83" i="5" s="1"/>
  <c r="U110" i="4"/>
  <c r="X79" i="5"/>
  <c r="U112" i="4"/>
  <c r="X136" i="5" s="1"/>
  <c r="U113" i="4"/>
  <c r="X142" i="5"/>
  <c r="U114" i="4"/>
  <c r="X140" i="5" s="1"/>
  <c r="U115" i="4"/>
  <c r="X135" i="5"/>
  <c r="U116" i="4"/>
  <c r="X125" i="5"/>
  <c r="U117" i="4"/>
  <c r="X133" i="5"/>
  <c r="U118" i="4"/>
  <c r="X139" i="5" s="1"/>
  <c r="U120" i="4"/>
  <c r="X137" i="5"/>
  <c r="U121" i="4"/>
  <c r="X107" i="5"/>
  <c r="U122" i="4"/>
  <c r="X63" i="5"/>
  <c r="U123" i="4"/>
  <c r="X138" i="5" s="1"/>
  <c r="U124" i="4"/>
  <c r="X143" i="5" s="1"/>
  <c r="U125" i="4"/>
  <c r="X105" i="5"/>
  <c r="U126" i="4"/>
  <c r="X41" i="5"/>
  <c r="U128" i="4"/>
  <c r="X118" i="5" s="1"/>
  <c r="U129" i="4"/>
  <c r="X132" i="5"/>
  <c r="U130" i="4"/>
  <c r="X110" i="5" s="1"/>
  <c r="U131" i="4"/>
  <c r="X111" i="5"/>
  <c r="U132" i="4"/>
  <c r="X61" i="5" s="1"/>
  <c r="U133" i="4"/>
  <c r="X55" i="5" s="1"/>
  <c r="U134" i="4"/>
  <c r="X59" i="5" s="1"/>
  <c r="U136" i="4"/>
  <c r="X141" i="5"/>
  <c r="U137" i="4"/>
  <c r="X144" i="5" s="1"/>
  <c r="U138" i="4"/>
  <c r="X101" i="5" s="1"/>
  <c r="U139" i="4"/>
  <c r="X45" i="5"/>
  <c r="U140" i="4"/>
  <c r="X69" i="5"/>
  <c r="U141" i="4"/>
  <c r="X62" i="5" s="1"/>
  <c r="U142" i="4"/>
  <c r="X68" i="5" s="1"/>
  <c r="U144" i="4"/>
  <c r="X86" i="5"/>
  <c r="U145" i="4"/>
  <c r="X50" i="5"/>
  <c r="U146" i="4"/>
  <c r="X48" i="5" s="1"/>
  <c r="U147" i="4"/>
  <c r="X40" i="5" s="1"/>
  <c r="U148" i="4"/>
  <c r="X49" i="5" s="1"/>
  <c r="U3" i="4"/>
  <c r="X31" i="5"/>
  <c r="X101" i="75"/>
  <c r="X7" i="75"/>
  <c r="Y7" i="75" s="1"/>
  <c r="P85" i="5"/>
  <c r="P103" i="5"/>
  <c r="Q4" i="3"/>
  <c r="R4" i="3" s="1"/>
  <c r="S4" i="3"/>
  <c r="T4" i="3" s="1"/>
  <c r="Q5" i="3"/>
  <c r="R5" i="3"/>
  <c r="Q6" i="3"/>
  <c r="R6" i="3" s="1"/>
  <c r="Q7" i="3"/>
  <c r="Y7" i="3"/>
  <c r="Q8" i="3"/>
  <c r="S8" i="3"/>
  <c r="T8" i="3" s="1"/>
  <c r="R8" i="3"/>
  <c r="Q9" i="3"/>
  <c r="R9" i="3" s="1"/>
  <c r="Y9" i="3"/>
  <c r="Q10" i="3"/>
  <c r="Q11" i="3"/>
  <c r="R11" i="3" s="1"/>
  <c r="Q12" i="3"/>
  <c r="W12" i="3"/>
  <c r="Q13" i="3"/>
  <c r="Q14" i="3"/>
  <c r="R14" i="3"/>
  <c r="S14" i="3"/>
  <c r="T14" i="3" s="1"/>
  <c r="W14" i="3"/>
  <c r="Q15" i="3"/>
  <c r="R15" i="3" s="1"/>
  <c r="Q16" i="3"/>
  <c r="S16" i="3"/>
  <c r="T16" i="3" s="1"/>
  <c r="R16" i="3"/>
  <c r="Q17" i="3"/>
  <c r="Q18" i="3"/>
  <c r="R18" i="3"/>
  <c r="S18" i="3"/>
  <c r="T18" i="3" s="1"/>
  <c r="W18" i="3"/>
  <c r="Q19" i="3"/>
  <c r="Q20" i="3"/>
  <c r="S20" i="3"/>
  <c r="T20" i="3" s="1"/>
  <c r="U20" i="3" s="1"/>
  <c r="R20" i="3"/>
  <c r="W20" i="3"/>
  <c r="Q21" i="3"/>
  <c r="R21" i="3" s="1"/>
  <c r="S21" i="3"/>
  <c r="T21" i="3"/>
  <c r="Q22" i="3"/>
  <c r="Q23" i="3"/>
  <c r="S23" i="3"/>
  <c r="T23" i="3" s="1"/>
  <c r="Q24" i="3"/>
  <c r="S24" i="3"/>
  <c r="T24" i="3"/>
  <c r="R24" i="3"/>
  <c r="U24" i="3"/>
  <c r="Y24" i="3"/>
  <c r="Q25" i="3"/>
  <c r="R25" i="3" s="1"/>
  <c r="Q26" i="3"/>
  <c r="R26" i="3"/>
  <c r="W26" i="3"/>
  <c r="Q27" i="3"/>
  <c r="S27" i="3" s="1"/>
  <c r="R27" i="3"/>
  <c r="T27" i="3"/>
  <c r="Q28" i="3"/>
  <c r="S28" i="3" s="1"/>
  <c r="T28" i="3" s="1"/>
  <c r="W28" i="3"/>
  <c r="Q29" i="3"/>
  <c r="R29" i="3" s="1"/>
  <c r="W29" i="3"/>
  <c r="Q30" i="3"/>
  <c r="W30" i="3"/>
  <c r="Q31" i="3"/>
  <c r="R31" i="3" s="1"/>
  <c r="Y31" i="3"/>
  <c r="Q32" i="3"/>
  <c r="Y32" i="3"/>
  <c r="Q33" i="3"/>
  <c r="S33" i="3" s="1"/>
  <c r="R33" i="3"/>
  <c r="T33" i="3"/>
  <c r="Q34" i="3"/>
  <c r="S34" i="3" s="1"/>
  <c r="T34" i="3" s="1"/>
  <c r="Q35" i="3"/>
  <c r="Q36" i="3"/>
  <c r="S36" i="3" s="1"/>
  <c r="T36" i="3" s="1"/>
  <c r="R36" i="3"/>
  <c r="Q37" i="3"/>
  <c r="R37" i="3"/>
  <c r="S37" i="3"/>
  <c r="T37" i="3" s="1"/>
  <c r="U37" i="3" s="1"/>
  <c r="Q38" i="3"/>
  <c r="W38" i="3"/>
  <c r="Q39" i="3"/>
  <c r="R39" i="3"/>
  <c r="Y39" i="3"/>
  <c r="Q40" i="3"/>
  <c r="Q41" i="3"/>
  <c r="R41" i="3"/>
  <c r="S41" i="3"/>
  <c r="T41" i="3" s="1"/>
  <c r="Q42" i="3"/>
  <c r="W42" i="3"/>
  <c r="Q43" i="3"/>
  <c r="W43" i="3"/>
  <c r="Q44" i="3"/>
  <c r="S44" i="3" s="1"/>
  <c r="T44" i="3" s="1"/>
  <c r="R44" i="3"/>
  <c r="Q45" i="3"/>
  <c r="R45" i="3"/>
  <c r="S45" i="3"/>
  <c r="T45" i="3" s="1"/>
  <c r="U45" i="3" s="1"/>
  <c r="Q46" i="3"/>
  <c r="Q47" i="3"/>
  <c r="Q48" i="3"/>
  <c r="S48" i="3"/>
  <c r="T48" i="3" s="1"/>
  <c r="U48" i="3" s="1"/>
  <c r="R48" i="3"/>
  <c r="W48" i="3"/>
  <c r="Q49" i="3"/>
  <c r="Q50" i="3"/>
  <c r="S50" i="3" s="1"/>
  <c r="T50" i="3" s="1"/>
  <c r="R50" i="3"/>
  <c r="W50" i="3"/>
  <c r="Q51" i="3"/>
  <c r="S51" i="3" s="1"/>
  <c r="T51" i="3" s="1"/>
  <c r="R51" i="3"/>
  <c r="Q52" i="3"/>
  <c r="W52" i="3"/>
  <c r="Q53" i="3"/>
  <c r="S53" i="3" s="1"/>
  <c r="R53" i="3"/>
  <c r="T53" i="3"/>
  <c r="Q54" i="3"/>
  <c r="S54" i="3" s="1"/>
  <c r="T54" i="3" s="1"/>
  <c r="W54" i="3"/>
  <c r="Z54" i="3" s="1"/>
  <c r="Q55" i="3"/>
  <c r="Y55" i="3"/>
  <c r="Q56" i="3"/>
  <c r="S56" i="3" s="1"/>
  <c r="T56" i="3" s="1"/>
  <c r="Q57" i="3"/>
  <c r="R57" i="3"/>
  <c r="S57" i="3"/>
  <c r="T57" i="3"/>
  <c r="Q58" i="3"/>
  <c r="Q59" i="3"/>
  <c r="Y59" i="3"/>
  <c r="Q60" i="3"/>
  <c r="S60" i="3" s="1"/>
  <c r="T60" i="3" s="1"/>
  <c r="W60" i="3"/>
  <c r="Q61" i="3"/>
  <c r="R61" i="3" s="1"/>
  <c r="S61" i="3"/>
  <c r="T61" i="3"/>
  <c r="Q62" i="3"/>
  <c r="R62" i="3" s="1"/>
  <c r="W62" i="3"/>
  <c r="Q63" i="3"/>
  <c r="R63" i="3"/>
  <c r="S63" i="3"/>
  <c r="T63" i="3" s="1"/>
  <c r="Q64" i="3"/>
  <c r="R64" i="3" s="1"/>
  <c r="Q65" i="3"/>
  <c r="Y65" i="3"/>
  <c r="Q66" i="3"/>
  <c r="W66" i="3"/>
  <c r="Z66" i="3" s="1"/>
  <c r="Q67" i="3"/>
  <c r="S67" i="3" s="1"/>
  <c r="T67" i="3" s="1"/>
  <c r="W67" i="3"/>
  <c r="Q68" i="3"/>
  <c r="R68" i="3"/>
  <c r="S68" i="3"/>
  <c r="T68" i="3"/>
  <c r="U68" i="3" s="1"/>
  <c r="Q69" i="3"/>
  <c r="Q70" i="3"/>
  <c r="Y70" i="3"/>
  <c r="Q71" i="3"/>
  <c r="S71" i="3" s="1"/>
  <c r="T71" i="3" s="1"/>
  <c r="U71" i="3" s="1"/>
  <c r="R71" i="3"/>
  <c r="Y71" i="3"/>
  <c r="Q72" i="3"/>
  <c r="R72" i="3" s="1"/>
  <c r="S72" i="3"/>
  <c r="T72" i="3" s="1"/>
  <c r="W72" i="3"/>
  <c r="Q73" i="3"/>
  <c r="R73" i="3"/>
  <c r="S73" i="3"/>
  <c r="T73" i="3"/>
  <c r="U73" i="3" s="1"/>
  <c r="Y73" i="3"/>
  <c r="Q74" i="3"/>
  <c r="S74" i="3" s="1"/>
  <c r="T74" i="3" s="1"/>
  <c r="R74" i="3"/>
  <c r="W74" i="3"/>
  <c r="Q75" i="3"/>
  <c r="R75" i="3"/>
  <c r="S75" i="3"/>
  <c r="T75" i="3"/>
  <c r="U75" i="3" s="1"/>
  <c r="Y75" i="3"/>
  <c r="Q76" i="3"/>
  <c r="R76" i="3" s="1"/>
  <c r="U76" i="3" s="1"/>
  <c r="S76" i="3"/>
  <c r="T76" i="3"/>
  <c r="Q77" i="3"/>
  <c r="Y77" i="3"/>
  <c r="Q78" i="3"/>
  <c r="Q79" i="3"/>
  <c r="Y79" i="3"/>
  <c r="Q80" i="3"/>
  <c r="R80" i="3"/>
  <c r="U80" i="3"/>
  <c r="S80" i="3"/>
  <c r="T80" i="3"/>
  <c r="W80" i="3"/>
  <c r="Q81" i="3"/>
  <c r="Q82" i="3"/>
  <c r="R82" i="3"/>
  <c r="S82" i="3"/>
  <c r="T82" i="3" s="1"/>
  <c r="W82" i="3"/>
  <c r="Q83" i="3"/>
  <c r="R83" i="3"/>
  <c r="Q84" i="3"/>
  <c r="S84" i="3"/>
  <c r="T84" i="3"/>
  <c r="R84" i="3"/>
  <c r="U84" i="3" s="1"/>
  <c r="Q85" i="3"/>
  <c r="R85" i="3" s="1"/>
  <c r="S85" i="3"/>
  <c r="T85" i="3"/>
  <c r="Y85" i="3"/>
  <c r="Q86" i="3"/>
  <c r="Q87" i="3"/>
  <c r="R87" i="3" s="1"/>
  <c r="S87" i="3"/>
  <c r="T87" i="3" s="1"/>
  <c r="Y87" i="3"/>
  <c r="Q88" i="3"/>
  <c r="R88" i="3" s="1"/>
  <c r="W88" i="3"/>
  <c r="Q89" i="3"/>
  <c r="R89" i="3"/>
  <c r="S89" i="3"/>
  <c r="T89" i="3" s="1"/>
  <c r="Y89" i="3"/>
  <c r="Q90" i="3"/>
  <c r="S90" i="3" s="1"/>
  <c r="T90" i="3" s="1"/>
  <c r="Q91" i="3"/>
  <c r="R91" i="3"/>
  <c r="U91" i="3" s="1"/>
  <c r="S91" i="3"/>
  <c r="T91" i="3" s="1"/>
  <c r="Y91" i="3"/>
  <c r="Q92" i="3"/>
  <c r="Q93" i="3"/>
  <c r="R93" i="3"/>
  <c r="S93" i="3"/>
  <c r="T93" i="3"/>
  <c r="Q94" i="3"/>
  <c r="R94" i="3"/>
  <c r="S94" i="3"/>
  <c r="T94" i="3"/>
  <c r="W94" i="3"/>
  <c r="Q95" i="3"/>
  <c r="Y95" i="3"/>
  <c r="Q96" i="3"/>
  <c r="S96" i="3" s="1"/>
  <c r="T96" i="3" s="1"/>
  <c r="R96" i="3"/>
  <c r="W96" i="3"/>
  <c r="Q97" i="3"/>
  <c r="S97" i="3" s="1"/>
  <c r="T97" i="3" s="1"/>
  <c r="Q98" i="3"/>
  <c r="R98" i="3"/>
  <c r="S98" i="3"/>
  <c r="T98" i="3" s="1"/>
  <c r="W98" i="3"/>
  <c r="Q99" i="3"/>
  <c r="Q100" i="3"/>
  <c r="R100" i="3" s="1"/>
  <c r="U100" i="3" s="1"/>
  <c r="S100" i="3"/>
  <c r="T100" i="3" s="1"/>
  <c r="Q101" i="3"/>
  <c r="Y101" i="3"/>
  <c r="Q102" i="3"/>
  <c r="Q103" i="3"/>
  <c r="R103" i="3" s="1"/>
  <c r="S103" i="3"/>
  <c r="T103" i="3"/>
  <c r="U103" i="3"/>
  <c r="Y103" i="3"/>
  <c r="Q104" i="3"/>
  <c r="S104" i="3" s="1"/>
  <c r="T104" i="3" s="1"/>
  <c r="R104" i="3"/>
  <c r="W104" i="3"/>
  <c r="Q105" i="3"/>
  <c r="S105" i="3" s="1"/>
  <c r="T105" i="3" s="1"/>
  <c r="R105" i="3"/>
  <c r="Y105" i="3"/>
  <c r="Q106" i="3"/>
  <c r="S106" i="3" s="1"/>
  <c r="T106" i="3" s="1"/>
  <c r="U106" i="3" s="1"/>
  <c r="R106" i="3"/>
  <c r="W106" i="3"/>
  <c r="Q107" i="3"/>
  <c r="Q108" i="3"/>
  <c r="W108" i="3"/>
  <c r="Q109" i="3"/>
  <c r="S109" i="3"/>
  <c r="T109" i="3" s="1"/>
  <c r="Q110" i="3"/>
  <c r="R110" i="3" s="1"/>
  <c r="S110" i="3"/>
  <c r="T110" i="3" s="1"/>
  <c r="Q111" i="3"/>
  <c r="R111" i="3"/>
  <c r="S111" i="3"/>
  <c r="T111" i="3" s="1"/>
  <c r="Y111" i="3"/>
  <c r="Q112" i="3"/>
  <c r="R112" i="3" s="1"/>
  <c r="S112" i="3"/>
  <c r="T112" i="3" s="1"/>
  <c r="Q113" i="3"/>
  <c r="R113" i="3"/>
  <c r="U113" i="3" s="1"/>
  <c r="S113" i="3"/>
  <c r="T113" i="3" s="1"/>
  <c r="Y113" i="3"/>
  <c r="Q114" i="3"/>
  <c r="R114" i="3" s="1"/>
  <c r="Q115" i="3"/>
  <c r="Q116" i="3"/>
  <c r="Q117" i="3"/>
  <c r="S117" i="3" s="1"/>
  <c r="T117" i="3" s="1"/>
  <c r="R117" i="3"/>
  <c r="Q118" i="3"/>
  <c r="Q119" i="3"/>
  <c r="Y119" i="3"/>
  <c r="Q120" i="3"/>
  <c r="Q121" i="3"/>
  <c r="R121" i="3" s="1"/>
  <c r="S121" i="3"/>
  <c r="T121" i="3"/>
  <c r="Q122" i="3"/>
  <c r="S122" i="3"/>
  <c r="T122" i="3"/>
  <c r="R122" i="3"/>
  <c r="U122" i="3" s="1"/>
  <c r="W122" i="3"/>
  <c r="Q123" i="3"/>
  <c r="R123" i="3"/>
  <c r="Y123" i="3"/>
  <c r="Q124" i="3"/>
  <c r="R124" i="3"/>
  <c r="S124" i="3"/>
  <c r="T124" i="3" s="1"/>
  <c r="W124" i="3"/>
  <c r="Q125" i="3"/>
  <c r="R125" i="3"/>
  <c r="S125" i="3"/>
  <c r="T125" i="3" s="1"/>
  <c r="Y125" i="3"/>
  <c r="Q126" i="3"/>
  <c r="R126" i="3"/>
  <c r="S126" i="3"/>
  <c r="T126" i="3"/>
  <c r="W126" i="3"/>
  <c r="Q127" i="3"/>
  <c r="Q128" i="3"/>
  <c r="R128" i="3" s="1"/>
  <c r="S128" i="3"/>
  <c r="T128" i="3" s="1"/>
  <c r="W128" i="3"/>
  <c r="Q129" i="3"/>
  <c r="Y129" i="3"/>
  <c r="Q130" i="3"/>
  <c r="R130" i="3" s="1"/>
  <c r="S130" i="3"/>
  <c r="T130" i="3"/>
  <c r="U130" i="3" s="1"/>
  <c r="Y130" i="3"/>
  <c r="Q131" i="3"/>
  <c r="S131" i="3" s="1"/>
  <c r="T131" i="3" s="1"/>
  <c r="R131" i="3"/>
  <c r="U131" i="3" s="1"/>
  <c r="Q132" i="3"/>
  <c r="R132" i="3" s="1"/>
  <c r="S132" i="3"/>
  <c r="T132" i="3"/>
  <c r="Q133" i="3"/>
  <c r="S133" i="3" s="1"/>
  <c r="T133" i="3" s="1"/>
  <c r="Q134" i="3"/>
  <c r="W134" i="3"/>
  <c r="Q135" i="3"/>
  <c r="R135" i="3" s="1"/>
  <c r="W135" i="3"/>
  <c r="Y135" i="3"/>
  <c r="Q136" i="3"/>
  <c r="R136" i="3" s="1"/>
  <c r="W136" i="3"/>
  <c r="Q137" i="3"/>
  <c r="S137" i="3" s="1"/>
  <c r="T137" i="3" s="1"/>
  <c r="Y137" i="3"/>
  <c r="Q138" i="3"/>
  <c r="R138" i="3"/>
  <c r="U138" i="3" s="1"/>
  <c r="S138" i="3"/>
  <c r="T138" i="3" s="1"/>
  <c r="Q139" i="3"/>
  <c r="W139" i="3"/>
  <c r="Q140" i="3"/>
  <c r="R140" i="3"/>
  <c r="Q141" i="3"/>
  <c r="S141" i="3" s="1"/>
  <c r="T141" i="3" s="1"/>
  <c r="R141" i="3"/>
  <c r="U141" i="3" s="1"/>
  <c r="W141" i="3"/>
  <c r="Q142" i="3"/>
  <c r="R142" i="3"/>
  <c r="Q143" i="3"/>
  <c r="S143" i="3" s="1"/>
  <c r="T143" i="3" s="1"/>
  <c r="W143" i="3"/>
  <c r="Q144" i="3"/>
  <c r="R144" i="3"/>
  <c r="Q145" i="3"/>
  <c r="S145" i="3" s="1"/>
  <c r="T145" i="3" s="1"/>
  <c r="W145" i="3"/>
  <c r="Q146" i="3"/>
  <c r="R146" i="3"/>
  <c r="Y146" i="3"/>
  <c r="Q147" i="3"/>
  <c r="W147" i="3"/>
  <c r="Q148" i="3"/>
  <c r="S148" i="3" s="1"/>
  <c r="T148" i="3" s="1"/>
  <c r="U148" i="3" s="1"/>
  <c r="R148" i="3"/>
  <c r="Q3" i="3"/>
  <c r="R3" i="3"/>
  <c r="S3" i="3"/>
  <c r="T3" i="3" s="1"/>
  <c r="U3" i="3" s="1"/>
  <c r="Y3" i="3"/>
  <c r="M34" i="5"/>
  <c r="L32" i="5"/>
  <c r="L33" i="5"/>
  <c r="N33" i="5" s="1"/>
  <c r="M33" i="5"/>
  <c r="L27" i="5"/>
  <c r="N27" i="5" s="1"/>
  <c r="M27" i="5"/>
  <c r="L28" i="5"/>
  <c r="L24" i="5"/>
  <c r="M24" i="5"/>
  <c r="N24" i="5" s="1"/>
  <c r="M26" i="5"/>
  <c r="M17" i="5"/>
  <c r="L13" i="5"/>
  <c r="M13" i="5"/>
  <c r="N13" i="5"/>
  <c r="L18" i="5"/>
  <c r="N18" i="5" s="1"/>
  <c r="M18" i="5"/>
  <c r="L29" i="5"/>
  <c r="M29" i="5"/>
  <c r="N29" i="5"/>
  <c r="M8" i="5"/>
  <c r="L9" i="5"/>
  <c r="N9" i="5" s="1"/>
  <c r="M9" i="5"/>
  <c r="M21" i="5"/>
  <c r="L23" i="5"/>
  <c r="M7" i="5"/>
  <c r="M22" i="5"/>
  <c r="M4" i="5"/>
  <c r="M19" i="5"/>
  <c r="M35" i="5"/>
  <c r="M113" i="5"/>
  <c r="L98" i="5"/>
  <c r="L37" i="5"/>
  <c r="M39" i="5"/>
  <c r="M93" i="5"/>
  <c r="L43" i="5"/>
  <c r="M94" i="5"/>
  <c r="M122" i="5"/>
  <c r="L112" i="5"/>
  <c r="N112" i="5" s="1"/>
  <c r="M112" i="5"/>
  <c r="M108" i="5"/>
  <c r="L91" i="5"/>
  <c r="M91" i="5"/>
  <c r="L106" i="5"/>
  <c r="M121" i="5"/>
  <c r="M96" i="5"/>
  <c r="L66" i="5"/>
  <c r="M66" i="5"/>
  <c r="M104" i="5"/>
  <c r="L109" i="5"/>
  <c r="N109" i="5" s="1"/>
  <c r="M109" i="5"/>
  <c r="L46" i="5"/>
  <c r="M76" i="5"/>
  <c r="M58" i="5"/>
  <c r="L99" i="5"/>
  <c r="M85" i="5"/>
  <c r="M124" i="5"/>
  <c r="L103" i="5"/>
  <c r="M103" i="5"/>
  <c r="L102" i="5"/>
  <c r="M116" i="5"/>
  <c r="M114" i="5"/>
  <c r="L100" i="5"/>
  <c r="M100" i="5"/>
  <c r="N100" i="5" s="1"/>
  <c r="L67" i="5"/>
  <c r="N67" i="5" s="1"/>
  <c r="M67" i="5"/>
  <c r="M57" i="5"/>
  <c r="L128" i="5"/>
  <c r="N128" i="5" s="1"/>
  <c r="M128" i="5"/>
  <c r="L44" i="5"/>
  <c r="M56" i="5"/>
  <c r="M78" i="5"/>
  <c r="M87" i="5"/>
  <c r="L90" i="5"/>
  <c r="M90" i="5"/>
  <c r="M38" i="5"/>
  <c r="M42" i="5"/>
  <c r="L84" i="5"/>
  <c r="L97" i="5"/>
  <c r="M92" i="5"/>
  <c r="M77" i="5"/>
  <c r="M70" i="5"/>
  <c r="L80" i="5"/>
  <c r="M80" i="5"/>
  <c r="M64" i="5"/>
  <c r="M117" i="5"/>
  <c r="L115" i="5"/>
  <c r="M115" i="5"/>
  <c r="L73" i="5"/>
  <c r="M72" i="5"/>
  <c r="M119" i="5"/>
  <c r="L10" i="5"/>
  <c r="M10" i="5"/>
  <c r="L20" i="5"/>
  <c r="N20" i="5" s="1"/>
  <c r="M20" i="5"/>
  <c r="L36" i="5"/>
  <c r="M36" i="5"/>
  <c r="L74" i="5"/>
  <c r="M74" i="5"/>
  <c r="M129" i="5"/>
  <c r="M146" i="5"/>
  <c r="M71" i="5"/>
  <c r="L134" i="5"/>
  <c r="M134" i="5"/>
  <c r="M88" i="5"/>
  <c r="M130" i="5"/>
  <c r="L131" i="5"/>
  <c r="M131" i="5"/>
  <c r="N131" i="5" s="1"/>
  <c r="L147" i="5"/>
  <c r="M145" i="5"/>
  <c r="M127" i="5"/>
  <c r="L75" i="5"/>
  <c r="M51" i="5"/>
  <c r="M54" i="5"/>
  <c r="L83" i="5"/>
  <c r="M83" i="5"/>
  <c r="L79" i="5"/>
  <c r="M142" i="5"/>
  <c r="M140" i="5"/>
  <c r="M125" i="5"/>
  <c r="M133" i="5"/>
  <c r="M47" i="5"/>
  <c r="M137" i="5"/>
  <c r="M107" i="5"/>
  <c r="M63" i="5"/>
  <c r="M143" i="5"/>
  <c r="M105" i="5"/>
  <c r="M41" i="5"/>
  <c r="M120" i="5"/>
  <c r="M118" i="5"/>
  <c r="M132" i="5"/>
  <c r="M110" i="5"/>
  <c r="M61" i="5"/>
  <c r="M55" i="5"/>
  <c r="M59" i="5"/>
  <c r="M149" i="5"/>
  <c r="M101" i="5"/>
  <c r="L45" i="5"/>
  <c r="M45" i="5"/>
  <c r="L69" i="5"/>
  <c r="N69" i="5" s="1"/>
  <c r="M69" i="5"/>
  <c r="M62" i="5"/>
  <c r="L53" i="5"/>
  <c r="L86" i="5"/>
  <c r="M50" i="5"/>
  <c r="M40" i="5"/>
  <c r="L49" i="5"/>
  <c r="M31" i="5"/>
  <c r="X129" i="75"/>
  <c r="Y129" i="75" s="1"/>
  <c r="X128" i="75"/>
  <c r="N3" i="75"/>
  <c r="X3" i="75"/>
  <c r="Y3" i="75" s="1"/>
  <c r="X148" i="75"/>
  <c r="Y148" i="75" s="1"/>
  <c r="X147" i="75"/>
  <c r="Y147" i="75" s="1"/>
  <c r="X146" i="75"/>
  <c r="Y146" i="75" s="1"/>
  <c r="X145" i="75"/>
  <c r="Y145" i="75" s="1"/>
  <c r="X144" i="75"/>
  <c r="Y144" i="75" s="1"/>
  <c r="X143" i="75"/>
  <c r="X142" i="75"/>
  <c r="Y142" i="75"/>
  <c r="X141" i="75"/>
  <c r="Y141" i="75" s="1"/>
  <c r="Z141" i="75" s="1"/>
  <c r="X140" i="75"/>
  <c r="X139" i="75"/>
  <c r="X138" i="75"/>
  <c r="Y138" i="75"/>
  <c r="Z138" i="75"/>
  <c r="X137" i="75"/>
  <c r="Y137" i="75" s="1"/>
  <c r="X136" i="75"/>
  <c r="Y136" i="75" s="1"/>
  <c r="X135" i="75"/>
  <c r="Y135" i="75" s="1"/>
  <c r="X134" i="75"/>
  <c r="Y134" i="75" s="1"/>
  <c r="X133" i="75"/>
  <c r="Y133" i="75" s="1"/>
  <c r="X132" i="75"/>
  <c r="Y132" i="75" s="1"/>
  <c r="X131" i="75"/>
  <c r="Y131" i="75" s="1"/>
  <c r="X130" i="75"/>
  <c r="Y130" i="75"/>
  <c r="X127" i="75"/>
  <c r="Y127" i="75" s="1"/>
  <c r="X126" i="75"/>
  <c r="Y126" i="75" s="1"/>
  <c r="X125" i="75"/>
  <c r="Y125" i="75" s="1"/>
  <c r="X124" i="75"/>
  <c r="X123" i="75"/>
  <c r="X122" i="75"/>
  <c r="Y122" i="75" s="1"/>
  <c r="X121" i="75"/>
  <c r="Y121" i="75" s="1"/>
  <c r="X120" i="75"/>
  <c r="X119" i="75"/>
  <c r="Y119" i="75"/>
  <c r="X118" i="75"/>
  <c r="Y118" i="75" s="1"/>
  <c r="X117" i="75"/>
  <c r="Y117" i="75"/>
  <c r="X116" i="75"/>
  <c r="X115" i="75"/>
  <c r="Y115" i="75" s="1"/>
  <c r="X114" i="75"/>
  <c r="Y114" i="75" s="1"/>
  <c r="X113" i="75"/>
  <c r="Y113" i="75" s="1"/>
  <c r="X112" i="75"/>
  <c r="X111" i="75"/>
  <c r="Y111" i="75" s="1"/>
  <c r="X110" i="75"/>
  <c r="Y110" i="75"/>
  <c r="X109" i="75"/>
  <c r="Y109" i="75"/>
  <c r="X108" i="75"/>
  <c r="X107" i="75"/>
  <c r="Y107" i="75" s="1"/>
  <c r="X106" i="75"/>
  <c r="Y106" i="75" s="1"/>
  <c r="X105" i="75"/>
  <c r="X104" i="75"/>
  <c r="Y104" i="75"/>
  <c r="X103" i="75"/>
  <c r="Y103" i="75" s="1"/>
  <c r="X102" i="75"/>
  <c r="Y102" i="75" s="1"/>
  <c r="X100" i="75"/>
  <c r="Y100" i="75"/>
  <c r="X99" i="75"/>
  <c r="Y99" i="75" s="1"/>
  <c r="X98" i="75"/>
  <c r="Y98" i="75" s="1"/>
  <c r="X97" i="75"/>
  <c r="Y97" i="75" s="1"/>
  <c r="X96" i="75"/>
  <c r="Y96" i="75" s="1"/>
  <c r="X95" i="75"/>
  <c r="Y95" i="75"/>
  <c r="X94" i="75"/>
  <c r="X93" i="75"/>
  <c r="Y93" i="75" s="1"/>
  <c r="X92" i="75"/>
  <c r="Y92" i="75" s="1"/>
  <c r="X91" i="75"/>
  <c r="Y91" i="75"/>
  <c r="X90" i="75"/>
  <c r="X89" i="75"/>
  <c r="Y89" i="75" s="1"/>
  <c r="X88" i="75"/>
  <c r="X87" i="75"/>
  <c r="Y87" i="75" s="1"/>
  <c r="X86" i="75"/>
  <c r="X85" i="75"/>
  <c r="Y85" i="75"/>
  <c r="X84" i="75"/>
  <c r="Y84" i="75" s="1"/>
  <c r="X83" i="75"/>
  <c r="Y83" i="75" s="1"/>
  <c r="X82" i="75"/>
  <c r="X81" i="75"/>
  <c r="X80" i="75"/>
  <c r="Y80" i="75" s="1"/>
  <c r="Z80" i="75" s="1"/>
  <c r="X79" i="75"/>
  <c r="X78" i="75"/>
  <c r="Y78" i="75" s="1"/>
  <c r="X77" i="75"/>
  <c r="Y77" i="75" s="1"/>
  <c r="Z77" i="75" s="1"/>
  <c r="X76" i="75"/>
  <c r="Y76" i="75" s="1"/>
  <c r="X75" i="75"/>
  <c r="X74" i="75"/>
  <c r="Y74" i="75" s="1"/>
  <c r="X73" i="75"/>
  <c r="Y73" i="75" s="1"/>
  <c r="X72" i="75"/>
  <c r="Y72" i="75"/>
  <c r="Z72" i="75" s="1"/>
  <c r="X71" i="75"/>
  <c r="X70" i="75"/>
  <c r="Y70" i="75" s="1"/>
  <c r="Z70" i="75" s="1"/>
  <c r="X69" i="75"/>
  <c r="Y69" i="75"/>
  <c r="X68" i="75"/>
  <c r="Y68" i="75"/>
  <c r="X67" i="75"/>
  <c r="X66" i="75"/>
  <c r="Y66" i="75" s="1"/>
  <c r="X65" i="75"/>
  <c r="X64" i="75"/>
  <c r="X63" i="75"/>
  <c r="X62" i="75"/>
  <c r="Y62" i="75"/>
  <c r="X61" i="75"/>
  <c r="Y61" i="75"/>
  <c r="X60" i="75"/>
  <c r="X59" i="75"/>
  <c r="X58" i="75"/>
  <c r="Y58" i="75" s="1"/>
  <c r="X57" i="75"/>
  <c r="X56" i="75"/>
  <c r="Y56" i="75" s="1"/>
  <c r="X55" i="75"/>
  <c r="Y55" i="75" s="1"/>
  <c r="X54" i="75"/>
  <c r="Y54" i="75" s="1"/>
  <c r="X53" i="75"/>
  <c r="X52" i="75"/>
  <c r="X51" i="75"/>
  <c r="Y51" i="75" s="1"/>
  <c r="X50" i="75"/>
  <c r="Y50" i="75" s="1"/>
  <c r="X49" i="75"/>
  <c r="X48" i="75"/>
  <c r="X47" i="75"/>
  <c r="Y47" i="75" s="1"/>
  <c r="X46" i="75"/>
  <c r="Y46" i="75"/>
  <c r="X45" i="75"/>
  <c r="Y45" i="75" s="1"/>
  <c r="X44" i="75"/>
  <c r="X43" i="75"/>
  <c r="Y43" i="75" s="1"/>
  <c r="X42" i="75"/>
  <c r="Y42" i="75"/>
  <c r="X41" i="75"/>
  <c r="Y41" i="75"/>
  <c r="X40" i="75"/>
  <c r="Y40" i="75"/>
  <c r="X39" i="75"/>
  <c r="Y39" i="75" s="1"/>
  <c r="X38" i="75"/>
  <c r="X37" i="75"/>
  <c r="Y37" i="75"/>
  <c r="X36" i="75"/>
  <c r="Y36" i="75" s="1"/>
  <c r="X35" i="75"/>
  <c r="Y35" i="75" s="1"/>
  <c r="X34" i="75"/>
  <c r="X33" i="75"/>
  <c r="Y33" i="75"/>
  <c r="X32" i="75"/>
  <c r="Y32" i="75" s="1"/>
  <c r="X31" i="75"/>
  <c r="X30" i="75"/>
  <c r="Y30" i="75" s="1"/>
  <c r="X29" i="75"/>
  <c r="Y29" i="75" s="1"/>
  <c r="X28" i="75"/>
  <c r="Y28" i="75" s="1"/>
  <c r="Z28" i="75" s="1"/>
  <c r="X27" i="75"/>
  <c r="X26" i="75"/>
  <c r="Y26" i="75"/>
  <c r="X25" i="75"/>
  <c r="X24" i="75"/>
  <c r="Y24" i="75" s="1"/>
  <c r="X23" i="75"/>
  <c r="Y23" i="75"/>
  <c r="X22" i="75"/>
  <c r="X21" i="75"/>
  <c r="Y21" i="75" s="1"/>
  <c r="X20" i="75"/>
  <c r="Y20" i="75" s="1"/>
  <c r="X19" i="75"/>
  <c r="Y19" i="75" s="1"/>
  <c r="X18" i="75"/>
  <c r="Y18" i="75"/>
  <c r="X17" i="75"/>
  <c r="Y17" i="75" s="1"/>
  <c r="X16" i="75"/>
  <c r="Y16" i="75" s="1"/>
  <c r="X15" i="75"/>
  <c r="X14" i="75"/>
  <c r="Y14" i="75"/>
  <c r="X13" i="75"/>
  <c r="Y13" i="75"/>
  <c r="X12" i="75"/>
  <c r="Y12" i="75" s="1"/>
  <c r="X11" i="75"/>
  <c r="Y11" i="75" s="1"/>
  <c r="X10" i="75"/>
  <c r="Y10" i="75"/>
  <c r="X9" i="75"/>
  <c r="Y9" i="75" s="1"/>
  <c r="X8" i="75"/>
  <c r="X6" i="75"/>
  <c r="Y6" i="75" s="1"/>
  <c r="X5" i="75"/>
  <c r="Y5" i="75"/>
  <c r="X4" i="75"/>
  <c r="P98" i="3"/>
  <c r="P50" i="3"/>
  <c r="P139" i="3"/>
  <c r="P11" i="3"/>
  <c r="P74" i="3"/>
  <c r="P9" i="3"/>
  <c r="H15" i="5"/>
  <c r="H101" i="5"/>
  <c r="S23" i="5"/>
  <c r="S86" i="5"/>
  <c r="S126" i="5"/>
  <c r="S8" i="5"/>
  <c r="S58" i="5"/>
  <c r="P82" i="3"/>
  <c r="H77" i="5"/>
  <c r="P101" i="3"/>
  <c r="P19" i="3"/>
  <c r="P66" i="3"/>
  <c r="P21" i="3"/>
  <c r="P85" i="3"/>
  <c r="P140" i="3"/>
  <c r="P53" i="3"/>
  <c r="P69" i="3"/>
  <c r="P90" i="3"/>
  <c r="P18" i="3"/>
  <c r="P109" i="3"/>
  <c r="P17" i="3"/>
  <c r="P61" i="3"/>
  <c r="P93" i="3"/>
  <c r="P89" i="3"/>
  <c r="P8" i="3"/>
  <c r="P42" i="3"/>
  <c r="P94" i="3"/>
  <c r="P65" i="3"/>
  <c r="P45" i="3"/>
  <c r="H51" i="5"/>
  <c r="H31" i="5"/>
  <c r="AG93" i="3"/>
  <c r="P36" i="5" s="1"/>
  <c r="AG146" i="3"/>
  <c r="P48" i="5" s="1"/>
  <c r="AG101" i="3"/>
  <c r="P131" i="5" s="1"/>
  <c r="AG111" i="3"/>
  <c r="P65" i="5" s="1"/>
  <c r="AG105" i="3"/>
  <c r="P127" i="5" s="1"/>
  <c r="AG37" i="3"/>
  <c r="P43" i="5" s="1"/>
  <c r="AG114" i="3"/>
  <c r="P140" i="5"/>
  <c r="AG94" i="3"/>
  <c r="P74" i="5" s="1"/>
  <c r="AG122" i="3"/>
  <c r="P63" i="5" s="1"/>
  <c r="AG86" i="3"/>
  <c r="P73" i="5" s="1"/>
  <c r="AG8" i="3"/>
  <c r="P33" i="5" s="1"/>
  <c r="AG117" i="3"/>
  <c r="P133" i="5" s="1"/>
  <c r="AG79" i="3"/>
  <c r="P92" i="5" s="1"/>
  <c r="AG97" i="3"/>
  <c r="P71" i="5" s="1"/>
  <c r="AG43" i="3"/>
  <c r="P108" i="5"/>
  <c r="AG4" i="3"/>
  <c r="P34" i="5" s="1"/>
  <c r="AG109" i="3"/>
  <c r="P83" i="5" s="1"/>
  <c r="AG53" i="3"/>
  <c r="P109" i="5" s="1"/>
  <c r="AG23" i="3"/>
  <c r="P21" i="5" s="1"/>
  <c r="AG11" i="3"/>
  <c r="P24" i="5" s="1"/>
  <c r="AG74" i="3"/>
  <c r="P90" i="5" s="1"/>
  <c r="N13" i="75"/>
  <c r="N6" i="75"/>
  <c r="P4" i="4"/>
  <c r="I16" i="4"/>
  <c r="T17" i="5"/>
  <c r="T144" i="75"/>
  <c r="P115" i="4"/>
  <c r="P59" i="4"/>
  <c r="S59" i="4" s="1"/>
  <c r="I48" i="4"/>
  <c r="T121" i="5"/>
  <c r="I25" i="4"/>
  <c r="T7" i="5"/>
  <c r="P109" i="4"/>
  <c r="P68" i="4"/>
  <c r="S68" i="4" s="1"/>
  <c r="P35" i="4"/>
  <c r="M107" i="4"/>
  <c r="V51" i="5"/>
  <c r="M103" i="4"/>
  <c r="V148" i="5"/>
  <c r="I66" i="4"/>
  <c r="T67" i="5"/>
  <c r="I24" i="4"/>
  <c r="T23" i="5" s="1"/>
  <c r="P37" i="4"/>
  <c r="M8" i="4"/>
  <c r="V33" i="5" s="1"/>
  <c r="T142" i="75"/>
  <c r="I68" i="5" s="1"/>
  <c r="P90" i="4"/>
  <c r="S90" i="4"/>
  <c r="P92" i="4"/>
  <c r="S92" i="4" s="1"/>
  <c r="W11" i="5" s="1"/>
  <c r="P131" i="4"/>
  <c r="M115" i="4"/>
  <c r="V135" i="5" s="1"/>
  <c r="M50" i="4"/>
  <c r="V66" i="5" s="1"/>
  <c r="I32" i="4"/>
  <c r="I6" i="4"/>
  <c r="T30" i="5"/>
  <c r="W85" i="3"/>
  <c r="Z85" i="3"/>
  <c r="Y80" i="3"/>
  <c r="Z80" i="3" s="1"/>
  <c r="I137" i="4"/>
  <c r="T144" i="5" s="1"/>
  <c r="I40" i="4"/>
  <c r="J40" i="4" s="1"/>
  <c r="U122" i="5" s="1"/>
  <c r="M34" i="4"/>
  <c r="M4" i="4"/>
  <c r="V34" i="5" s="1"/>
  <c r="M148" i="4"/>
  <c r="V49" i="5"/>
  <c r="P101" i="4"/>
  <c r="P83" i="4"/>
  <c r="M82" i="4"/>
  <c r="V80" i="5" s="1"/>
  <c r="I78" i="4"/>
  <c r="T97" i="5" s="1"/>
  <c r="I74" i="4"/>
  <c r="T90" i="5" s="1"/>
  <c r="P3" i="4"/>
  <c r="I144" i="4"/>
  <c r="T86" i="5"/>
  <c r="P133" i="4"/>
  <c r="S133" i="4" s="1"/>
  <c r="M132" i="4"/>
  <c r="V61" i="5" s="1"/>
  <c r="P107" i="4"/>
  <c r="M87" i="4"/>
  <c r="V72" i="5" s="1"/>
  <c r="M60" i="4"/>
  <c r="V124" i="5" s="1"/>
  <c r="I41" i="4"/>
  <c r="I33" i="4"/>
  <c r="T98" i="5" s="1"/>
  <c r="I43" i="4"/>
  <c r="T108" i="5" s="1"/>
  <c r="P125" i="4"/>
  <c r="P67" i="4"/>
  <c r="S67" i="4" s="1"/>
  <c r="M86" i="4"/>
  <c r="V73" i="5" s="1"/>
  <c r="P51" i="4"/>
  <c r="S51" i="4" s="1"/>
  <c r="W104" i="5" s="1"/>
  <c r="M27" i="4"/>
  <c r="V5" i="5"/>
  <c r="Y117" i="3"/>
  <c r="W117" i="3"/>
  <c r="Y82" i="3"/>
  <c r="Z82" i="3" s="1"/>
  <c r="T28" i="75"/>
  <c r="AA28" i="75" s="1"/>
  <c r="W46" i="3"/>
  <c r="Y46" i="3"/>
  <c r="S35" i="5"/>
  <c r="W8" i="3"/>
  <c r="Z8" i="3" s="1"/>
  <c r="Y8" i="3"/>
  <c r="T88" i="75"/>
  <c r="I119" i="5"/>
  <c r="P147" i="4"/>
  <c r="S147" i="4" s="1"/>
  <c r="P139" i="4"/>
  <c r="S139" i="4" s="1"/>
  <c r="P132" i="4"/>
  <c r="P123" i="4"/>
  <c r="P117" i="4"/>
  <c r="P91" i="4"/>
  <c r="I90" i="4"/>
  <c r="P84" i="4"/>
  <c r="M83" i="4"/>
  <c r="V64" i="5" s="1"/>
  <c r="P69" i="4"/>
  <c r="S69" i="4"/>
  <c r="W128" i="5"/>
  <c r="P60" i="4"/>
  <c r="S60" i="4" s="1"/>
  <c r="M57" i="4"/>
  <c r="V58" i="5" s="1"/>
  <c r="M49" i="4"/>
  <c r="V96" i="5"/>
  <c r="P29" i="4"/>
  <c r="I23" i="4"/>
  <c r="T21" i="5" s="1"/>
  <c r="P11" i="4"/>
  <c r="S11" i="4" s="1"/>
  <c r="W24" i="5" s="1"/>
  <c r="P141" i="4"/>
  <c r="S141" i="4"/>
  <c r="W62" i="5"/>
  <c r="P102" i="4"/>
  <c r="S102" i="4" s="1"/>
  <c r="W147" i="5" s="1"/>
  <c r="P75" i="4"/>
  <c r="S75" i="4" s="1"/>
  <c r="W38" i="5" s="1"/>
  <c r="P53" i="4"/>
  <c r="M52" i="4"/>
  <c r="V89" i="5"/>
  <c r="P27" i="4"/>
  <c r="S27" i="4" s="1"/>
  <c r="M134" i="4"/>
  <c r="V59" i="5" s="1"/>
  <c r="P116" i="4"/>
  <c r="S116" i="4"/>
  <c r="W125" i="5" s="1"/>
  <c r="M111" i="4"/>
  <c r="V65" i="5" s="1"/>
  <c r="I72" i="4"/>
  <c r="T78" i="5" s="1"/>
  <c r="P61" i="4"/>
  <c r="S61" i="4"/>
  <c r="W103" i="5"/>
  <c r="M43" i="4"/>
  <c r="I15" i="4"/>
  <c r="T26" i="5" s="1"/>
  <c r="P36" i="4"/>
  <c r="P5" i="4"/>
  <c r="S5" i="4" s="1"/>
  <c r="T133" i="75"/>
  <c r="I55" i="5"/>
  <c r="T126" i="75"/>
  <c r="W3" i="3"/>
  <c r="Z3" i="3" s="1"/>
  <c r="Y122" i="3"/>
  <c r="Y94" i="3"/>
  <c r="Y74" i="3"/>
  <c r="Z74" i="3"/>
  <c r="Y72" i="3"/>
  <c r="Z72" i="3"/>
  <c r="Y66" i="3"/>
  <c r="P140" i="4"/>
  <c r="P76" i="4"/>
  <c r="S76" i="4" s="1"/>
  <c r="W42" i="5" s="1"/>
  <c r="P45" i="4"/>
  <c r="M42" i="4"/>
  <c r="V112" i="5" s="1"/>
  <c r="Y18" i="3"/>
  <c r="Z18" i="3" s="1"/>
  <c r="Y60" i="3"/>
  <c r="Z60" i="3" s="1"/>
  <c r="AH60" i="3" s="1"/>
  <c r="Y12" i="3"/>
  <c r="Z12" i="3" s="1"/>
  <c r="P99" i="4"/>
  <c r="M51" i="4"/>
  <c r="V104" i="5"/>
  <c r="I47" i="4"/>
  <c r="T82" i="5" s="1"/>
  <c r="P21" i="4"/>
  <c r="S21" i="4" s="1"/>
  <c r="W9" i="5" s="1"/>
  <c r="M12" i="4"/>
  <c r="V25" i="5" s="1"/>
  <c r="Y145" i="3"/>
  <c r="Z145" i="3" s="1"/>
  <c r="Y139" i="3"/>
  <c r="Z139" i="3" s="1"/>
  <c r="Y126" i="3"/>
  <c r="Y98" i="3"/>
  <c r="W70" i="3"/>
  <c r="Y62" i="3"/>
  <c r="Z62" i="3" s="1"/>
  <c r="AH62" i="3" s="1"/>
  <c r="W101" i="3"/>
  <c r="W77" i="3"/>
  <c r="Z77" i="3" s="1"/>
  <c r="W65" i="3"/>
  <c r="Z65" i="3" s="1"/>
  <c r="Y128" i="3"/>
  <c r="Y108" i="3"/>
  <c r="W113" i="3"/>
  <c r="W95" i="3"/>
  <c r="Y42" i="3"/>
  <c r="Z42" i="3" s="1"/>
  <c r="W4" i="3"/>
  <c r="Y4" i="3"/>
  <c r="Z4" i="3"/>
  <c r="AH4" i="3" s="1"/>
  <c r="Y136" i="3"/>
  <c r="W79" i="3"/>
  <c r="Y52" i="3"/>
  <c r="Z52" i="3" s="1"/>
  <c r="AH52" i="3" s="1"/>
  <c r="M131" i="4"/>
  <c r="V111" i="5" s="1"/>
  <c r="I139" i="4"/>
  <c r="T45" i="5" s="1"/>
  <c r="P108" i="4"/>
  <c r="S108" i="4" s="1"/>
  <c r="W54" i="5" s="1"/>
  <c r="T53" i="75"/>
  <c r="I109" i="5"/>
  <c r="T48" i="75"/>
  <c r="I121" i="5"/>
  <c r="P124" i="4"/>
  <c r="M123" i="4"/>
  <c r="V138" i="5" s="1"/>
  <c r="I92" i="4"/>
  <c r="T11" i="5" s="1"/>
  <c r="I111" i="4"/>
  <c r="T65" i="5"/>
  <c r="P100" i="4"/>
  <c r="S100" i="4" s="1"/>
  <c r="M81" i="4"/>
  <c r="V70" i="5" s="1"/>
  <c r="M76" i="4"/>
  <c r="V42" i="5"/>
  <c r="T98" i="75"/>
  <c r="I134" i="5" s="1"/>
  <c r="P148" i="4"/>
  <c r="P128" i="4"/>
  <c r="S128" i="4" s="1"/>
  <c r="W118" i="5" s="1"/>
  <c r="T130" i="5"/>
  <c r="T120" i="75"/>
  <c r="I137" i="5" s="1"/>
  <c r="T74" i="75"/>
  <c r="I90" i="5" s="1"/>
  <c r="I148" i="4"/>
  <c r="T49" i="5" s="1"/>
  <c r="T141" i="5"/>
  <c r="M121" i="4"/>
  <c r="V107" i="5"/>
  <c r="M118" i="4"/>
  <c r="V139" i="5" s="1"/>
  <c r="I112" i="4"/>
  <c r="T136" i="5" s="1"/>
  <c r="M93" i="4"/>
  <c r="V36" i="5"/>
  <c r="I70" i="4"/>
  <c r="T44" i="5" s="1"/>
  <c r="I58" i="4"/>
  <c r="T99" i="5" s="1"/>
  <c r="P52" i="4"/>
  <c r="P43" i="4"/>
  <c r="S43" i="4"/>
  <c r="M18" i="4"/>
  <c r="V18" i="5" s="1"/>
  <c r="I80" i="4"/>
  <c r="J80" i="4" s="1"/>
  <c r="U77" i="5" s="1"/>
  <c r="M77" i="4"/>
  <c r="V84" i="5" s="1"/>
  <c r="I56" i="4"/>
  <c r="P26" i="4"/>
  <c r="S26" i="4"/>
  <c r="P20" i="4"/>
  <c r="M19" i="4"/>
  <c r="V29" i="5" s="1"/>
  <c r="I17" i="4"/>
  <c r="T13" i="5" s="1"/>
  <c r="M85" i="4"/>
  <c r="V115" i="5"/>
  <c r="I81" i="4"/>
  <c r="M74" i="4"/>
  <c r="V90" i="5" s="1"/>
  <c r="I49" i="4"/>
  <c r="T96" i="5" s="1"/>
  <c r="M48" i="4"/>
  <c r="V121" i="5"/>
  <c r="P44" i="4"/>
  <c r="M20" i="4"/>
  <c r="V8" i="5" s="1"/>
  <c r="P18" i="4"/>
  <c r="S18" i="4" s="1"/>
  <c r="W18" i="5" s="1"/>
  <c r="P12" i="4"/>
  <c r="M9" i="4"/>
  <c r="V27" i="5"/>
  <c r="T82" i="75"/>
  <c r="I80" i="5" s="1"/>
  <c r="I91" i="4"/>
  <c r="T12" i="5" s="1"/>
  <c r="M61" i="4"/>
  <c r="V103" i="5"/>
  <c r="I57" i="4"/>
  <c r="I46" i="4"/>
  <c r="T106" i="5"/>
  <c r="P28" i="4"/>
  <c r="P19" i="4"/>
  <c r="P13" i="4"/>
  <c r="T122" i="75"/>
  <c r="I63" i="5" s="1"/>
  <c r="Y115" i="3"/>
  <c r="W115" i="3"/>
  <c r="Z115" i="3" s="1"/>
  <c r="AH115" i="3" s="1"/>
  <c r="Y84" i="3"/>
  <c r="W84" i="3"/>
  <c r="S70" i="3"/>
  <c r="T70" i="3" s="1"/>
  <c r="U70" i="3" s="1"/>
  <c r="R70" i="3"/>
  <c r="S134" i="3"/>
  <c r="T134" i="3" s="1"/>
  <c r="R134" i="3"/>
  <c r="Y33" i="3"/>
  <c r="W33" i="3"/>
  <c r="U117" i="3"/>
  <c r="Y100" i="3"/>
  <c r="W100" i="3"/>
  <c r="S86" i="3"/>
  <c r="T86" i="3" s="1"/>
  <c r="R86" i="3"/>
  <c r="Y67" i="3"/>
  <c r="Y131" i="3"/>
  <c r="W131" i="3"/>
  <c r="Y116" i="3"/>
  <c r="W116" i="3"/>
  <c r="S102" i="3"/>
  <c r="T102" i="3" s="1"/>
  <c r="R102" i="3"/>
  <c r="Y83" i="3"/>
  <c r="W83" i="3"/>
  <c r="Z83" i="3" s="1"/>
  <c r="Y148" i="3"/>
  <c r="W148" i="3"/>
  <c r="Y17" i="3"/>
  <c r="W17" i="3"/>
  <c r="Y144" i="3"/>
  <c r="W144" i="3"/>
  <c r="Y142" i="3"/>
  <c r="W142" i="3"/>
  <c r="Z142" i="3" s="1"/>
  <c r="Y140" i="3"/>
  <c r="W140" i="3"/>
  <c r="Z140" i="3" s="1"/>
  <c r="S118" i="3"/>
  <c r="T118" i="3" s="1"/>
  <c r="U118" i="3" s="1"/>
  <c r="R118" i="3"/>
  <c r="U85" i="3"/>
  <c r="Y68" i="3"/>
  <c r="W68" i="3"/>
  <c r="Y132" i="3"/>
  <c r="Z132" i="3" s="1"/>
  <c r="W132" i="3"/>
  <c r="Y61" i="3"/>
  <c r="W61" i="3"/>
  <c r="Y57" i="3"/>
  <c r="W57" i="3"/>
  <c r="Y53" i="3"/>
  <c r="W53" i="3"/>
  <c r="U41" i="3"/>
  <c r="Y23" i="3"/>
  <c r="W23" i="3"/>
  <c r="W7" i="3"/>
  <c r="W119" i="3"/>
  <c r="Z119" i="3" s="1"/>
  <c r="AH119" i="3" s="1"/>
  <c r="W103" i="3"/>
  <c r="Z103" i="3"/>
  <c r="W87" i="3"/>
  <c r="W71" i="3"/>
  <c r="Y54" i="3"/>
  <c r="Y50" i="3"/>
  <c r="Z50" i="3" s="1"/>
  <c r="Y43" i="3"/>
  <c r="Z43" i="3" s="1"/>
  <c r="AH43" i="3" s="1"/>
  <c r="Y27" i="3"/>
  <c r="W27" i="3"/>
  <c r="Y11" i="3"/>
  <c r="W11" i="3"/>
  <c r="Y63" i="3"/>
  <c r="W63" i="3"/>
  <c r="U61" i="3"/>
  <c r="U57" i="3"/>
  <c r="U53" i="3"/>
  <c r="Y37" i="3"/>
  <c r="W37" i="3"/>
  <c r="Y21" i="3"/>
  <c r="W21" i="3"/>
  <c r="S146" i="3"/>
  <c r="T146" i="3" s="1"/>
  <c r="U146" i="3" s="1"/>
  <c r="S144" i="3"/>
  <c r="T144" i="3" s="1"/>
  <c r="U144" i="3" s="1"/>
  <c r="S142" i="3"/>
  <c r="T142" i="3" s="1"/>
  <c r="U142" i="3" s="1"/>
  <c r="S140" i="3"/>
  <c r="T140" i="3"/>
  <c r="U140" i="3"/>
  <c r="S136" i="3"/>
  <c r="T136" i="3"/>
  <c r="U136" i="3" s="1"/>
  <c r="AA136" i="3" s="1"/>
  <c r="O141" i="5" s="1"/>
  <c r="Q141" i="5" s="1"/>
  <c r="Y134" i="3"/>
  <c r="Z134" i="3" s="1"/>
  <c r="W123" i="3"/>
  <c r="W91" i="3"/>
  <c r="W75" i="3"/>
  <c r="Z75" i="3"/>
  <c r="W59" i="3"/>
  <c r="Z59" i="3" s="1"/>
  <c r="AH59" i="3" s="1"/>
  <c r="Y51" i="3"/>
  <c r="W51" i="3"/>
  <c r="Z51" i="3"/>
  <c r="U50" i="3"/>
  <c r="Y47" i="3"/>
  <c r="W47" i="3"/>
  <c r="U33" i="3"/>
  <c r="U14" i="3"/>
  <c r="O140" i="75"/>
  <c r="E69" i="5"/>
  <c r="U104" i="3"/>
  <c r="U27" i="3"/>
  <c r="Y25" i="3"/>
  <c r="W25" i="3"/>
  <c r="W9" i="3"/>
  <c r="U98" i="3"/>
  <c r="U63" i="3"/>
  <c r="Y35" i="3"/>
  <c r="W35" i="3"/>
  <c r="Y19" i="3"/>
  <c r="W19" i="3"/>
  <c r="W105" i="3"/>
  <c r="W89" i="3"/>
  <c r="Z89" i="3" s="1"/>
  <c r="Y45" i="3"/>
  <c r="W45" i="3"/>
  <c r="Z45" i="3" s="1"/>
  <c r="U44" i="3"/>
  <c r="Y29" i="3"/>
  <c r="AA61" i="5"/>
  <c r="O124" i="75"/>
  <c r="O111" i="75"/>
  <c r="E65" i="5"/>
  <c r="T118" i="75"/>
  <c r="I139" i="5" s="1"/>
  <c r="O143" i="75"/>
  <c r="E53" i="5" s="1"/>
  <c r="O18" i="75"/>
  <c r="E18" i="5"/>
  <c r="N8" i="75"/>
  <c r="G90" i="75"/>
  <c r="O53" i="75"/>
  <c r="G7" i="75"/>
  <c r="O9" i="75"/>
  <c r="O10" i="75"/>
  <c r="G9" i="75"/>
  <c r="M140" i="4"/>
  <c r="V69" i="5" s="1"/>
  <c r="M126" i="4"/>
  <c r="V126" i="4" s="1"/>
  <c r="Y41" i="5" s="1"/>
  <c r="V41" i="5"/>
  <c r="I122" i="4"/>
  <c r="T63" i="5" s="1"/>
  <c r="M133" i="4"/>
  <c r="V55" i="5" s="1"/>
  <c r="I124" i="4"/>
  <c r="M104" i="4"/>
  <c r="V145" i="5"/>
  <c r="M108" i="4"/>
  <c r="V54" i="5"/>
  <c r="I120" i="4"/>
  <c r="T137" i="5" s="1"/>
  <c r="P93" i="4"/>
  <c r="M75" i="4"/>
  <c r="V38" i="5" s="1"/>
  <c r="I73" i="4"/>
  <c r="J73" i="4"/>
  <c r="U87" i="5"/>
  <c r="P85" i="4"/>
  <c r="S85" i="4" s="1"/>
  <c r="P77" i="4"/>
  <c r="I63" i="4"/>
  <c r="J63" i="4"/>
  <c r="U116" i="5"/>
  <c r="I8" i="4"/>
  <c r="T33" i="5" s="1"/>
  <c r="I54" i="4"/>
  <c r="T46" i="5"/>
  <c r="M36" i="4"/>
  <c r="V93" i="5" s="1"/>
  <c r="T19" i="5"/>
  <c r="M44" i="4"/>
  <c r="V81" i="5" s="1"/>
  <c r="I38" i="4"/>
  <c r="T123" i="5"/>
  <c r="M17" i="4"/>
  <c r="V13" i="5" s="1"/>
  <c r="I7" i="4"/>
  <c r="T14" i="5" s="1"/>
  <c r="I9" i="4"/>
  <c r="O144" i="3"/>
  <c r="O24" i="3"/>
  <c r="AG136" i="3"/>
  <c r="P141" i="5"/>
  <c r="AG118" i="3"/>
  <c r="P139" i="5" s="1"/>
  <c r="O27" i="3"/>
  <c r="I5" i="4"/>
  <c r="T32" i="5" s="1"/>
  <c r="AG127" i="3"/>
  <c r="P120" i="5" s="1"/>
  <c r="M11" i="4"/>
  <c r="O136" i="3"/>
  <c r="M141" i="5" s="1"/>
  <c r="O110" i="3"/>
  <c r="O78" i="3"/>
  <c r="O54" i="3"/>
  <c r="AG132" i="3"/>
  <c r="AG115" i="3"/>
  <c r="P135" i="5" s="1"/>
  <c r="O14" i="3"/>
  <c r="M15" i="5" s="1"/>
  <c r="AG143" i="3"/>
  <c r="P53" i="5"/>
  <c r="AG128" i="3"/>
  <c r="P118" i="5" s="1"/>
  <c r="AG120" i="3"/>
  <c r="P137" i="5" s="1"/>
  <c r="AG104" i="3"/>
  <c r="P145" i="5" s="1"/>
  <c r="AG87" i="3"/>
  <c r="P72" i="5"/>
  <c r="AG67" i="3"/>
  <c r="P57" i="5"/>
  <c r="AG58" i="3"/>
  <c r="P99" i="5" s="1"/>
  <c r="AG33" i="3"/>
  <c r="P98" i="5" s="1"/>
  <c r="AG31" i="3"/>
  <c r="P35" i="5"/>
  <c r="AG16" i="3"/>
  <c r="P17" i="5"/>
  <c r="O118" i="3"/>
  <c r="P118" i="3" s="1"/>
  <c r="O86" i="3"/>
  <c r="M73" i="5" s="1"/>
  <c r="O38" i="3"/>
  <c r="AG139" i="3"/>
  <c r="P45" i="5"/>
  <c r="AG124" i="3"/>
  <c r="P143" i="5"/>
  <c r="AG84" i="3"/>
  <c r="P117" i="5" s="1"/>
  <c r="AG81" i="3"/>
  <c r="P70" i="5" s="1"/>
  <c r="O62" i="3"/>
  <c r="AG92" i="3"/>
  <c r="P11" i="5"/>
  <c r="AG75" i="3"/>
  <c r="P38" i="5"/>
  <c r="AG60" i="3"/>
  <c r="P124" i="5" s="1"/>
  <c r="O22" i="3"/>
  <c r="M52" i="5" s="1"/>
  <c r="AG148" i="3"/>
  <c r="P49" i="5" s="1"/>
  <c r="AG119" i="3"/>
  <c r="P47" i="5" s="1"/>
  <c r="AG89" i="3"/>
  <c r="P10" i="5"/>
  <c r="AG83" i="3"/>
  <c r="AH83" i="3" s="1"/>
  <c r="P64" i="5"/>
  <c r="AG66" i="3"/>
  <c r="AG41" i="3"/>
  <c r="P60" i="5" s="1"/>
  <c r="AG38" i="3"/>
  <c r="AG35" i="3"/>
  <c r="P39" i="5"/>
  <c r="O46" i="3"/>
  <c r="P46" i="3" s="1"/>
  <c r="AG72" i="3"/>
  <c r="P78" i="5"/>
  <c r="AG22" i="3"/>
  <c r="W127" i="75"/>
  <c r="AA127" i="75" s="1"/>
  <c r="J120" i="5" s="1"/>
  <c r="AG64" i="3"/>
  <c r="P114" i="5"/>
  <c r="AG42" i="3"/>
  <c r="P112" i="5" s="1"/>
  <c r="AG29" i="3"/>
  <c r="P4" i="5" s="1"/>
  <c r="AG14" i="3"/>
  <c r="P15" i="5" s="1"/>
  <c r="AG108" i="3"/>
  <c r="AG25" i="3"/>
  <c r="P7" i="5"/>
  <c r="AG6" i="3"/>
  <c r="P30" i="5" s="1"/>
  <c r="W97" i="75"/>
  <c r="AA97" i="75" s="1"/>
  <c r="W36" i="75"/>
  <c r="AG21" i="3"/>
  <c r="P9" i="5"/>
  <c r="AG17" i="3"/>
  <c r="P13" i="5"/>
  <c r="W134" i="75"/>
  <c r="AA134" i="75" s="1"/>
  <c r="W99" i="75"/>
  <c r="AA99" i="75" s="1"/>
  <c r="J88" i="5" s="1"/>
  <c r="AG26" i="3"/>
  <c r="W74" i="75"/>
  <c r="W88" i="75"/>
  <c r="W81" i="75"/>
  <c r="W49" i="75"/>
  <c r="AA49" i="75" s="1"/>
  <c r="W129" i="75"/>
  <c r="H132" i="5" s="1"/>
  <c r="W70" i="75"/>
  <c r="AA70" i="75" s="1"/>
  <c r="W45" i="75"/>
  <c r="T146" i="75"/>
  <c r="T138" i="75"/>
  <c r="W103" i="75"/>
  <c r="W95" i="75"/>
  <c r="W52" i="75"/>
  <c r="S3" i="4"/>
  <c r="W31" i="5"/>
  <c r="S131" i="4"/>
  <c r="W111" i="5"/>
  <c r="S35" i="4"/>
  <c r="AA85" i="3"/>
  <c r="O115" i="5" s="1"/>
  <c r="Q115" i="5" s="1"/>
  <c r="J6" i="4"/>
  <c r="U30" i="5"/>
  <c r="J58" i="4"/>
  <c r="U99" i="5"/>
  <c r="J78" i="4"/>
  <c r="U97" i="5" s="1"/>
  <c r="J53" i="4"/>
  <c r="U109" i="5" s="1"/>
  <c r="I41" i="5"/>
  <c r="J147" i="4"/>
  <c r="U40" i="5"/>
  <c r="J128" i="4"/>
  <c r="U118" i="5" s="1"/>
  <c r="S124" i="4"/>
  <c r="W143" i="5" s="1"/>
  <c r="J70" i="4"/>
  <c r="U44" i="5" s="1"/>
  <c r="T61" i="5"/>
  <c r="P22" i="5"/>
  <c r="L30" i="5"/>
  <c r="L58" i="5"/>
  <c r="N58" i="5" s="1"/>
  <c r="P57" i="3"/>
  <c r="H44" i="5"/>
  <c r="P54" i="5"/>
  <c r="P67" i="5"/>
  <c r="AH66" i="3"/>
  <c r="N73" i="5"/>
  <c r="P86" i="3"/>
  <c r="P14" i="3"/>
  <c r="L15" i="5"/>
  <c r="N15" i="5" s="1"/>
  <c r="E108" i="5"/>
  <c r="U86" i="3"/>
  <c r="M139" i="5"/>
  <c r="N139" i="5" s="1"/>
  <c r="M106" i="5"/>
  <c r="N106" i="5" s="1"/>
  <c r="L87" i="5"/>
  <c r="N87" i="5" s="1"/>
  <c r="P73" i="3"/>
  <c r="L52" i="5"/>
  <c r="N52" i="5" s="1"/>
  <c r="P22" i="3"/>
  <c r="L71" i="5"/>
  <c r="P97" i="3"/>
  <c r="J7" i="4"/>
  <c r="U14" i="5"/>
  <c r="U102" i="3"/>
  <c r="L70" i="5"/>
  <c r="N70" i="5" s="1"/>
  <c r="P81" i="3"/>
  <c r="M5" i="5"/>
  <c r="P123" i="5"/>
  <c r="L60" i="5"/>
  <c r="H90" i="5"/>
  <c r="H120" i="5"/>
  <c r="P105" i="3"/>
  <c r="L127" i="5"/>
  <c r="N127" i="5"/>
  <c r="M102" i="5"/>
  <c r="P62" i="3"/>
  <c r="P78" i="3"/>
  <c r="M97" i="5"/>
  <c r="L96" i="5"/>
  <c r="N96" i="5"/>
  <c r="P49" i="3"/>
  <c r="AH139" i="3"/>
  <c r="M23" i="5"/>
  <c r="N23" i="5"/>
  <c r="P24" i="3"/>
  <c r="P52" i="5"/>
  <c r="M123" i="5"/>
  <c r="P110" i="3"/>
  <c r="M79" i="5"/>
  <c r="N79" i="5"/>
  <c r="M86" i="5"/>
  <c r="P144" i="3"/>
  <c r="N74" i="5"/>
  <c r="N36" i="5"/>
  <c r="N45" i="5"/>
  <c r="N134" i="5"/>
  <c r="N102" i="5"/>
  <c r="N97" i="5"/>
  <c r="N71" i="5"/>
  <c r="N80" i="5"/>
  <c r="N66" i="5"/>
  <c r="N59" i="5"/>
  <c r="N63" i="5"/>
  <c r="AI145" i="4"/>
  <c r="AA50" i="5"/>
  <c r="AI141" i="4"/>
  <c r="AA62" i="5" s="1"/>
  <c r="AI137" i="4"/>
  <c r="AA144" i="5" s="1"/>
  <c r="AI133" i="4"/>
  <c r="AA55" i="5"/>
  <c r="AI129" i="4"/>
  <c r="AA132" i="5" s="1"/>
  <c r="AI125" i="4"/>
  <c r="AA105" i="5" s="1"/>
  <c r="AI121" i="4"/>
  <c r="AA107" i="5" s="1"/>
  <c r="AI117" i="4"/>
  <c r="AA133" i="5"/>
  <c r="AI113" i="4"/>
  <c r="AA142" i="5"/>
  <c r="AI109" i="4"/>
  <c r="AA83" i="5" s="1"/>
  <c r="AI101" i="4"/>
  <c r="AI97" i="4"/>
  <c r="AA71" i="5"/>
  <c r="AI85" i="4"/>
  <c r="AA115" i="5"/>
  <c r="AI81" i="4"/>
  <c r="AA70" i="5"/>
  <c r="AI77" i="4"/>
  <c r="AA84" i="5" s="1"/>
  <c r="AI73" i="4"/>
  <c r="AA87" i="5"/>
  <c r="AI61" i="4"/>
  <c r="AA103" i="5"/>
  <c r="AI57" i="4"/>
  <c r="AA58" i="5" s="1"/>
  <c r="AI49" i="4"/>
  <c r="AA96" i="5" s="1"/>
  <c r="AI45" i="4"/>
  <c r="AA91" i="5" s="1"/>
  <c r="AI41" i="4"/>
  <c r="AA60" i="5"/>
  <c r="AI33" i="4"/>
  <c r="AA98" i="5" s="1"/>
  <c r="AI29" i="4"/>
  <c r="AA4" i="5" s="1"/>
  <c r="AI25" i="4"/>
  <c r="AA7" i="5" s="1"/>
  <c r="AI17" i="4"/>
  <c r="AA13" i="5"/>
  <c r="AI13" i="4"/>
  <c r="AA16" i="5" s="1"/>
  <c r="AI9" i="4"/>
  <c r="AA27" i="5" s="1"/>
  <c r="AI84" i="4"/>
  <c r="AA117" i="5" s="1"/>
  <c r="AI68" i="4"/>
  <c r="AA95" i="5"/>
  <c r="AI64" i="4"/>
  <c r="AA114" i="5"/>
  <c r="AI48" i="4"/>
  <c r="AA121" i="5" s="1"/>
  <c r="AI36" i="4"/>
  <c r="AA93" i="5" s="1"/>
  <c r="AI146" i="4"/>
  <c r="AA48" i="5"/>
  <c r="AI138" i="4"/>
  <c r="AA101" i="5" s="1"/>
  <c r="AI130" i="4"/>
  <c r="AA110" i="5" s="1"/>
  <c r="AI122" i="4"/>
  <c r="AA63" i="5" s="1"/>
  <c r="AI114" i="4"/>
  <c r="AA140" i="5"/>
  <c r="AI106" i="4"/>
  <c r="AA75" i="5" s="1"/>
  <c r="AI98" i="4"/>
  <c r="AA134" i="5" s="1"/>
  <c r="AI90" i="4"/>
  <c r="AA20" i="5" s="1"/>
  <c r="AI82" i="4"/>
  <c r="AA80" i="5"/>
  <c r="AI74" i="4"/>
  <c r="AA90" i="5" s="1"/>
  <c r="AI66" i="4"/>
  <c r="AA67" i="5" s="1"/>
  <c r="AI58" i="4"/>
  <c r="AA99" i="5" s="1"/>
  <c r="AI50" i="4"/>
  <c r="AA66" i="5"/>
  <c r="AI42" i="4"/>
  <c r="AA112" i="5"/>
  <c r="AI34" i="4"/>
  <c r="AA37" i="5" s="1"/>
  <c r="AI26" i="4"/>
  <c r="AA22" i="5" s="1"/>
  <c r="AI18" i="4"/>
  <c r="AA18" i="5"/>
  <c r="AI10" i="4"/>
  <c r="AA28" i="5" s="1"/>
  <c r="AI140" i="4"/>
  <c r="AA69" i="5" s="1"/>
  <c r="AI128" i="4"/>
  <c r="AA118" i="5" s="1"/>
  <c r="AI116" i="4"/>
  <c r="AA125" i="5"/>
  <c r="AI108" i="4"/>
  <c r="AA54" i="5" s="1"/>
  <c r="AI142" i="4"/>
  <c r="AA68" i="5" s="1"/>
  <c r="AI134" i="4"/>
  <c r="AA59" i="5" s="1"/>
  <c r="AI126" i="4"/>
  <c r="AA41" i="5"/>
  <c r="AI118" i="4"/>
  <c r="AA139" i="5" s="1"/>
  <c r="AI110" i="4"/>
  <c r="AA79" i="5" s="1"/>
  <c r="AI102" i="4"/>
  <c r="AA147" i="5" s="1"/>
  <c r="AI94" i="4"/>
  <c r="AA74" i="5"/>
  <c r="AI86" i="4"/>
  <c r="AA73" i="5"/>
  <c r="AI78" i="4"/>
  <c r="AA97" i="5" s="1"/>
  <c r="AI70" i="4"/>
  <c r="AA44" i="5" s="1"/>
  <c r="AI62" i="4"/>
  <c r="AA102" i="5"/>
  <c r="AI54" i="4"/>
  <c r="AA46" i="5" s="1"/>
  <c r="AI46" i="4"/>
  <c r="AA106" i="5" s="1"/>
  <c r="AI38" i="4"/>
  <c r="AA123" i="5" s="1"/>
  <c r="AI30" i="4"/>
  <c r="AA19" i="5"/>
  <c r="AI22" i="4"/>
  <c r="AA52" i="5" s="1"/>
  <c r="AI14" i="4"/>
  <c r="AA15" i="5" s="1"/>
  <c r="AI6" i="4"/>
  <c r="AA30" i="5" s="1"/>
  <c r="AE98" i="4"/>
  <c r="AB134" i="5"/>
  <c r="AE90" i="4"/>
  <c r="AB20" i="5" s="1"/>
  <c r="AE78" i="4"/>
  <c r="AB97" i="5" s="1"/>
  <c r="AE70" i="4"/>
  <c r="AB44" i="5" s="1"/>
  <c r="AE62" i="4"/>
  <c r="AB102" i="5"/>
  <c r="AE58" i="4"/>
  <c r="AB99" i="5"/>
  <c r="AE50" i="4"/>
  <c r="AB66" i="5" s="1"/>
  <c r="W112" i="5"/>
  <c r="V42" i="4"/>
  <c r="Y112" i="5"/>
  <c r="V27" i="4"/>
  <c r="Y5" i="5" s="1"/>
  <c r="W5" i="5"/>
  <c r="T105" i="5"/>
  <c r="J125" i="4"/>
  <c r="U105" i="5"/>
  <c r="T133" i="5"/>
  <c r="J117" i="4"/>
  <c r="U133" i="5" s="1"/>
  <c r="T83" i="5"/>
  <c r="J109" i="4"/>
  <c r="U83" i="5" s="1"/>
  <c r="T95" i="5"/>
  <c r="J68" i="4"/>
  <c r="U95" i="5" s="1"/>
  <c r="S146" i="4"/>
  <c r="W48" i="5" s="1"/>
  <c r="T112" i="5"/>
  <c r="J42" i="4"/>
  <c r="U112" i="5" s="1"/>
  <c r="J34" i="4"/>
  <c r="U37" i="5" s="1"/>
  <c r="T37" i="5"/>
  <c r="T139" i="5"/>
  <c r="J118" i="4"/>
  <c r="U139" i="5"/>
  <c r="J72" i="4"/>
  <c r="U78" i="5"/>
  <c r="J132" i="4"/>
  <c r="U61" i="5" s="1"/>
  <c r="M14" i="4"/>
  <c r="V15" i="5" s="1"/>
  <c r="M6" i="4"/>
  <c r="V30" i="5"/>
  <c r="J59" i="4"/>
  <c r="U85" i="5" s="1"/>
  <c r="J43" i="4"/>
  <c r="U108" i="5" s="1"/>
  <c r="J24" i="4"/>
  <c r="U23" i="5" s="1"/>
  <c r="S36" i="4"/>
  <c r="W93" i="5"/>
  <c r="S29" i="4"/>
  <c r="W4" i="5"/>
  <c r="M90" i="4"/>
  <c r="V20" i="5" s="1"/>
  <c r="I88" i="4"/>
  <c r="T119" i="5" s="1"/>
  <c r="I87" i="4"/>
  <c r="T72" i="5"/>
  <c r="I86" i="4"/>
  <c r="I61" i="4"/>
  <c r="T103" i="5" s="1"/>
  <c r="J61" i="4"/>
  <c r="U103" i="5" s="1"/>
  <c r="I36" i="4"/>
  <c r="T93" i="5" s="1"/>
  <c r="M31" i="4"/>
  <c r="V35" i="5"/>
  <c r="I21" i="4"/>
  <c r="M16" i="4"/>
  <c r="V16" i="4" s="1"/>
  <c r="Y17" i="5" s="1"/>
  <c r="AE82" i="4"/>
  <c r="AB80" i="5" s="1"/>
  <c r="S126" i="4"/>
  <c r="S118" i="4"/>
  <c r="W139" i="5"/>
  <c r="S110" i="4"/>
  <c r="S86" i="4"/>
  <c r="V86" i="4"/>
  <c r="Y73" i="5" s="1"/>
  <c r="S78" i="4"/>
  <c r="W97" i="5" s="1"/>
  <c r="S70" i="4"/>
  <c r="S62" i="4"/>
  <c r="W102" i="5"/>
  <c r="S54" i="4"/>
  <c r="S46" i="4"/>
  <c r="W106" i="5" s="1"/>
  <c r="S38" i="4"/>
  <c r="W123" i="5" s="1"/>
  <c r="S30" i="4"/>
  <c r="S22" i="4"/>
  <c r="W52" i="5"/>
  <c r="S14" i="4"/>
  <c r="W15" i="5"/>
  <c r="P144" i="4"/>
  <c r="S144" i="4" s="1"/>
  <c r="W86" i="5" s="1"/>
  <c r="P136" i="4"/>
  <c r="S136" i="4"/>
  <c r="W141" i="5"/>
  <c r="P120" i="4"/>
  <c r="S120" i="4" s="1"/>
  <c r="P112" i="4"/>
  <c r="S112" i="4" s="1"/>
  <c r="W136" i="5" s="1"/>
  <c r="P96" i="4"/>
  <c r="S96" i="4"/>
  <c r="P88" i="4"/>
  <c r="S88" i="4"/>
  <c r="P72" i="4"/>
  <c r="S72" i="4" s="1"/>
  <c r="W78" i="5" s="1"/>
  <c r="P64" i="4"/>
  <c r="P48" i="4"/>
  <c r="S48" i="4" s="1"/>
  <c r="W121" i="5" s="1"/>
  <c r="P32" i="4"/>
  <c r="S32" i="4"/>
  <c r="W113" i="5" s="1"/>
  <c r="P24" i="4"/>
  <c r="S24" i="4" s="1"/>
  <c r="W23" i="5" s="1"/>
  <c r="P8" i="4"/>
  <c r="J92" i="4"/>
  <c r="U11" i="5"/>
  <c r="I51" i="4"/>
  <c r="S64" i="4"/>
  <c r="W114" i="5" s="1"/>
  <c r="J124" i="4"/>
  <c r="U143" i="5" s="1"/>
  <c r="M54" i="4"/>
  <c r="V46" i="5"/>
  <c r="I19" i="4"/>
  <c r="T29" i="5" s="1"/>
  <c r="J74" i="4"/>
  <c r="U90" i="5" s="1"/>
  <c r="S44" i="4"/>
  <c r="W81" i="5" s="1"/>
  <c r="S4" i="4"/>
  <c r="W34" i="5"/>
  <c r="J136" i="4"/>
  <c r="U141" i="5"/>
  <c r="S123" i="4"/>
  <c r="W138" i="5" s="1"/>
  <c r="M116" i="4"/>
  <c r="V125" i="5" s="1"/>
  <c r="I113" i="4"/>
  <c r="S107" i="4"/>
  <c r="W51" i="5" s="1"/>
  <c r="M100" i="4"/>
  <c r="V130" i="5" s="1"/>
  <c r="I79" i="4"/>
  <c r="I76" i="4"/>
  <c r="T42" i="5" s="1"/>
  <c r="J26" i="4"/>
  <c r="U22" i="5"/>
  <c r="J16" i="4"/>
  <c r="U17" i="5"/>
  <c r="S77" i="4"/>
  <c r="W84" i="5" s="1"/>
  <c r="S53" i="4"/>
  <c r="W109" i="5" s="1"/>
  <c r="J25" i="4"/>
  <c r="U7" i="5"/>
  <c r="S148" i="4"/>
  <c r="W49" i="5"/>
  <c r="I138" i="4"/>
  <c r="I130" i="4"/>
  <c r="J130" i="4" s="1"/>
  <c r="U110" i="5" s="1"/>
  <c r="M125" i="4"/>
  <c r="V105" i="5"/>
  <c r="Z110" i="5"/>
  <c r="S52" i="4"/>
  <c r="S45" i="4"/>
  <c r="J148" i="4"/>
  <c r="U49" i="5" s="1"/>
  <c r="J33" i="4"/>
  <c r="U98" i="5"/>
  <c r="S12" i="4"/>
  <c r="S20" i="4"/>
  <c r="W8" i="5" s="1"/>
  <c r="I131" i="4"/>
  <c r="T111" i="5" s="1"/>
  <c r="S125" i="4"/>
  <c r="W105" i="5"/>
  <c r="M119" i="4"/>
  <c r="V47" i="5" s="1"/>
  <c r="S109" i="4"/>
  <c r="W83" i="5" s="1"/>
  <c r="M94" i="4"/>
  <c r="V74" i="5" s="1"/>
  <c r="Z84" i="5"/>
  <c r="Z128" i="5"/>
  <c r="Z103" i="5"/>
  <c r="Z137" i="5"/>
  <c r="Z145" i="5"/>
  <c r="Z146" i="5"/>
  <c r="Z109" i="5"/>
  <c r="Z91" i="5"/>
  <c r="Z4" i="5"/>
  <c r="Z9" i="5"/>
  <c r="Z32" i="5"/>
  <c r="Z28" i="5"/>
  <c r="Z48" i="5"/>
  <c r="Z101" i="5"/>
  <c r="Z63" i="5"/>
  <c r="Z140" i="5"/>
  <c r="Z75" i="5"/>
  <c r="V30" i="4"/>
  <c r="Y19" i="5"/>
  <c r="S8" i="4"/>
  <c r="S56" i="4"/>
  <c r="S93" i="4"/>
  <c r="S91" i="4"/>
  <c r="S117" i="4"/>
  <c r="W133" i="5"/>
  <c r="S143" i="4"/>
  <c r="W53" i="5"/>
  <c r="S135" i="4"/>
  <c r="V135" i="4" s="1"/>
  <c r="Y149" i="5" s="1"/>
  <c r="S127" i="4"/>
  <c r="W120" i="5"/>
  <c r="S119" i="4"/>
  <c r="W47" i="5" s="1"/>
  <c r="S111" i="4"/>
  <c r="W65" i="5" s="1"/>
  <c r="S103" i="4"/>
  <c r="S95" i="4"/>
  <c r="W129" i="5" s="1"/>
  <c r="S87" i="4"/>
  <c r="W72" i="5"/>
  <c r="S79" i="4"/>
  <c r="W92" i="5"/>
  <c r="S71" i="4"/>
  <c r="W56" i="5" s="1"/>
  <c r="S63" i="4"/>
  <c r="W116" i="5" s="1"/>
  <c r="S55" i="4"/>
  <c r="S47" i="4"/>
  <c r="W82" i="5" s="1"/>
  <c r="S39" i="4"/>
  <c r="V39" i="4" s="1"/>
  <c r="Y94" i="5" s="1"/>
  <c r="S31" i="4"/>
  <c r="W35" i="5" s="1"/>
  <c r="S23" i="4"/>
  <c r="W21" i="5" s="1"/>
  <c r="S15" i="4"/>
  <c r="S7" i="4"/>
  <c r="W14" i="5" s="1"/>
  <c r="S134" i="4"/>
  <c r="W59" i="5" s="1"/>
  <c r="S132" i="4"/>
  <c r="W61" i="5" s="1"/>
  <c r="S101" i="4"/>
  <c r="W131" i="5"/>
  <c r="S6" i="4"/>
  <c r="S84" i="4"/>
  <c r="W117" i="5"/>
  <c r="S142" i="4"/>
  <c r="W68" i="5" s="1"/>
  <c r="S66" i="4"/>
  <c r="W67" i="5" s="1"/>
  <c r="W88" i="5"/>
  <c r="S115" i="4"/>
  <c r="W135" i="5" s="1"/>
  <c r="AG54" i="3"/>
  <c r="P46" i="5" s="1"/>
  <c r="AG69" i="3"/>
  <c r="P128" i="5" s="1"/>
  <c r="AG24" i="3"/>
  <c r="P23" i="5"/>
  <c r="AG28" i="3"/>
  <c r="P6" i="5" s="1"/>
  <c r="AG77" i="3"/>
  <c r="P84" i="5" s="1"/>
  <c r="AG63" i="3"/>
  <c r="P116" i="5" s="1"/>
  <c r="AG55" i="3"/>
  <c r="P126" i="5"/>
  <c r="AG130" i="3"/>
  <c r="P110" i="5" s="1"/>
  <c r="AG5" i="3"/>
  <c r="P32" i="5" s="1"/>
  <c r="AG80" i="3"/>
  <c r="P77" i="5" s="1"/>
  <c r="AG100" i="3"/>
  <c r="P130" i="5"/>
  <c r="AG76" i="3"/>
  <c r="P42" i="5" s="1"/>
  <c r="AG65" i="3"/>
  <c r="P100" i="5" s="1"/>
  <c r="AG147" i="3"/>
  <c r="P40" i="5"/>
  <c r="AG68" i="3"/>
  <c r="P95" i="5"/>
  <c r="AG39" i="3"/>
  <c r="P94" i="5" s="1"/>
  <c r="AG90" i="3"/>
  <c r="P20" i="5" s="1"/>
  <c r="AG131" i="3"/>
  <c r="P111" i="5"/>
  <c r="AG49" i="3"/>
  <c r="P96" i="5"/>
  <c r="AG45" i="3"/>
  <c r="P91" i="5" s="1"/>
  <c r="AG20" i="3"/>
  <c r="P8" i="5" s="1"/>
  <c r="AG62" i="3"/>
  <c r="P102" i="5"/>
  <c r="AH51" i="3"/>
  <c r="AG145" i="3"/>
  <c r="AG141" i="3"/>
  <c r="P62" i="5" s="1"/>
  <c r="AG134" i="3"/>
  <c r="P59" i="5"/>
  <c r="AG121" i="3"/>
  <c r="P107" i="5" s="1"/>
  <c r="AG103" i="3"/>
  <c r="P148" i="5" s="1"/>
  <c r="AG48" i="3"/>
  <c r="P121" i="5" s="1"/>
  <c r="AG123" i="3"/>
  <c r="P138" i="5"/>
  <c r="AG116" i="3"/>
  <c r="P125" i="5" s="1"/>
  <c r="AG57" i="3"/>
  <c r="P58" i="5" s="1"/>
  <c r="AG32" i="3"/>
  <c r="P113" i="5" s="1"/>
  <c r="AG96" i="3"/>
  <c r="P146" i="5"/>
  <c r="AG50" i="3"/>
  <c r="P66" i="5" s="1"/>
  <c r="AG7" i="3"/>
  <c r="P14" i="5" s="1"/>
  <c r="AG82" i="3"/>
  <c r="P80" i="5" s="1"/>
  <c r="AG56" i="3"/>
  <c r="P76" i="5"/>
  <c r="AG73" i="3"/>
  <c r="P87" i="5" s="1"/>
  <c r="AG129" i="3"/>
  <c r="P132" i="5" s="1"/>
  <c r="AG52" i="3"/>
  <c r="P89" i="5"/>
  <c r="AG18" i="3"/>
  <c r="P18" i="5"/>
  <c r="AG107" i="3"/>
  <c r="P51" i="5" s="1"/>
  <c r="AG71" i="3"/>
  <c r="P56" i="5" s="1"/>
  <c r="AG36" i="3"/>
  <c r="P93" i="5"/>
  <c r="Z46" i="3"/>
  <c r="AH46" i="3" s="1"/>
  <c r="Z91" i="3"/>
  <c r="Z98" i="3"/>
  <c r="AH98" i="3" s="1"/>
  <c r="Z122" i="3"/>
  <c r="AA122" i="3" s="1"/>
  <c r="O63" i="5" s="1"/>
  <c r="Q63" i="5" s="1"/>
  <c r="AH74" i="3"/>
  <c r="AG78" i="3"/>
  <c r="P97" i="5" s="1"/>
  <c r="AG112" i="3"/>
  <c r="P136" i="5" s="1"/>
  <c r="AH75" i="3"/>
  <c r="AG137" i="3"/>
  <c r="P144" i="5" s="1"/>
  <c r="AH54" i="3"/>
  <c r="AG99" i="3"/>
  <c r="P88" i="5"/>
  <c r="AG91" i="3"/>
  <c r="P12" i="5"/>
  <c r="AG13" i="3"/>
  <c r="P16" i="5" s="1"/>
  <c r="AG30" i="3"/>
  <c r="P19" i="5" s="1"/>
  <c r="AG9" i="3"/>
  <c r="P27" i="5"/>
  <c r="AG3" i="3"/>
  <c r="P31" i="5" s="1"/>
  <c r="Z37" i="3"/>
  <c r="AH37" i="3" s="1"/>
  <c r="Z11" i="3"/>
  <c r="AH72" i="3"/>
  <c r="Z113" i="3"/>
  <c r="AA113" i="3"/>
  <c r="O142" i="5" s="1"/>
  <c r="Z108" i="3"/>
  <c r="AH108" i="3" s="1"/>
  <c r="Z23" i="3"/>
  <c r="AH23" i="3"/>
  <c r="Z57" i="3"/>
  <c r="Z117" i="3"/>
  <c r="AA117" i="3"/>
  <c r="O133" i="5" s="1"/>
  <c r="Q133" i="5" s="1"/>
  <c r="Z67" i="3"/>
  <c r="AH67" i="3" s="1"/>
  <c r="I120" i="3"/>
  <c r="J120" i="3"/>
  <c r="I112" i="3"/>
  <c r="J112" i="3" s="1"/>
  <c r="L136" i="5" s="1"/>
  <c r="I104" i="3"/>
  <c r="I96" i="3"/>
  <c r="I88" i="3"/>
  <c r="I80" i="3"/>
  <c r="I72" i="3"/>
  <c r="I64" i="3"/>
  <c r="I56" i="3"/>
  <c r="I48" i="3"/>
  <c r="I40" i="3"/>
  <c r="I32" i="3"/>
  <c r="I24" i="3"/>
  <c r="I16" i="3"/>
  <c r="I8" i="3"/>
  <c r="I144" i="3"/>
  <c r="I136" i="3"/>
  <c r="J136" i="3" s="1"/>
  <c r="L141" i="5" s="1"/>
  <c r="N141" i="5" s="1"/>
  <c r="I128" i="3"/>
  <c r="J128" i="3"/>
  <c r="P128" i="3"/>
  <c r="N83" i="5"/>
  <c r="N91" i="5"/>
  <c r="L55" i="5"/>
  <c r="N55" i="5"/>
  <c r="P133" i="3"/>
  <c r="L138" i="5"/>
  <c r="P30" i="3"/>
  <c r="L19" i="5"/>
  <c r="N19" i="5"/>
  <c r="L140" i="5"/>
  <c r="N140" i="5"/>
  <c r="P114" i="3"/>
  <c r="L133" i="5"/>
  <c r="N133" i="5" s="1"/>
  <c r="P132" i="3"/>
  <c r="L61" i="5"/>
  <c r="N61" i="5"/>
  <c r="P116" i="3"/>
  <c r="L125" i="5"/>
  <c r="N125" i="5"/>
  <c r="L7" i="5"/>
  <c r="N7" i="5" s="1"/>
  <c r="P25" i="3"/>
  <c r="L144" i="5"/>
  <c r="P29" i="3"/>
  <c r="L4" i="5"/>
  <c r="N4" i="5"/>
  <c r="P119" i="3"/>
  <c r="L47" i="5"/>
  <c r="N47" i="5" s="1"/>
  <c r="I3" i="3"/>
  <c r="N115" i="5"/>
  <c r="R115" i="5"/>
  <c r="N86" i="5"/>
  <c r="AA72" i="75"/>
  <c r="J78" i="5" s="1"/>
  <c r="H8" i="5"/>
  <c r="AA20" i="75"/>
  <c r="AA74" i="75"/>
  <c r="J90" i="5" s="1"/>
  <c r="H38" i="5"/>
  <c r="H9" i="5"/>
  <c r="AA21" i="75"/>
  <c r="H91" i="5"/>
  <c r="AA45" i="75"/>
  <c r="H11" i="5"/>
  <c r="AA92" i="75"/>
  <c r="H39" i="5"/>
  <c r="H95" i="5"/>
  <c r="AA68" i="75"/>
  <c r="H13" i="5"/>
  <c r="AA17" i="75"/>
  <c r="AA129" i="75"/>
  <c r="J132" i="5" s="1"/>
  <c r="H40" i="5"/>
  <c r="H4" i="5"/>
  <c r="AA29" i="75"/>
  <c r="H89" i="5"/>
  <c r="AA52" i="75"/>
  <c r="H96" i="5"/>
  <c r="AA80" i="75"/>
  <c r="J77" i="5" s="1"/>
  <c r="AA81" i="75"/>
  <c r="J70" i="5"/>
  <c r="H93" i="5"/>
  <c r="AA36" i="75"/>
  <c r="J93" i="5" s="1"/>
  <c r="H62" i="5"/>
  <c r="AA141" i="75"/>
  <c r="J62" i="5"/>
  <c r="H58" i="5"/>
  <c r="AA57" i="75"/>
  <c r="H7" i="5"/>
  <c r="H27" i="5"/>
  <c r="H119" i="5"/>
  <c r="AA88" i="75"/>
  <c r="H84" i="5"/>
  <c r="AA77" i="75"/>
  <c r="J84" i="5" s="1"/>
  <c r="H23" i="5"/>
  <c r="Z92" i="75"/>
  <c r="Z74" i="75"/>
  <c r="H78" i="5"/>
  <c r="Z24" i="75"/>
  <c r="J119" i="5"/>
  <c r="Z136" i="75"/>
  <c r="H70" i="5"/>
  <c r="I31" i="5"/>
  <c r="J31" i="5"/>
  <c r="I9" i="5"/>
  <c r="J9" i="5"/>
  <c r="J4" i="4"/>
  <c r="U34" i="5"/>
  <c r="T34" i="5"/>
  <c r="J113" i="4"/>
  <c r="U142" i="5" s="1"/>
  <c r="T142" i="5"/>
  <c r="T43" i="5"/>
  <c r="J37" i="4"/>
  <c r="U43" i="5"/>
  <c r="I84" i="5"/>
  <c r="Y5" i="3"/>
  <c r="W5" i="3"/>
  <c r="I105" i="4"/>
  <c r="T127" i="5" s="1"/>
  <c r="J69" i="4"/>
  <c r="U128" i="5"/>
  <c r="W137" i="3"/>
  <c r="Z137" i="3" s="1"/>
  <c r="AH137" i="3" s="1"/>
  <c r="Z47" i="3"/>
  <c r="AH47" i="3"/>
  <c r="Z68" i="3"/>
  <c r="Y14" i="3"/>
  <c r="Z14" i="3"/>
  <c r="AH14" i="3"/>
  <c r="W130" i="3"/>
  <c r="Z130" i="3"/>
  <c r="T122" i="5"/>
  <c r="Y99" i="3"/>
  <c r="W99" i="3"/>
  <c r="P17" i="75"/>
  <c r="F13" i="5" s="1"/>
  <c r="AE3" i="4"/>
  <c r="V54" i="4"/>
  <c r="Y46" i="5"/>
  <c r="Y109" i="3"/>
  <c r="W109" i="3"/>
  <c r="Z109" i="3" s="1"/>
  <c r="AH109" i="3" s="1"/>
  <c r="W16" i="3"/>
  <c r="Y16" i="3"/>
  <c r="I20" i="4"/>
  <c r="T8" i="5"/>
  <c r="J35" i="4"/>
  <c r="U39" i="5" s="1"/>
  <c r="Y26" i="3"/>
  <c r="Z26" i="3" s="1"/>
  <c r="AH26" i="3" s="1"/>
  <c r="I62" i="4"/>
  <c r="J18" i="4"/>
  <c r="U18" i="5" s="1"/>
  <c r="Y28" i="3"/>
  <c r="Z28" i="3" s="1"/>
  <c r="Y143" i="3"/>
  <c r="Z143" i="3"/>
  <c r="W111" i="3"/>
  <c r="Z111" i="3" s="1"/>
  <c r="AH111" i="3" s="1"/>
  <c r="W40" i="3"/>
  <c r="Y40" i="3"/>
  <c r="M117" i="4"/>
  <c r="V133" i="5"/>
  <c r="Y69" i="3"/>
  <c r="W69" i="3"/>
  <c r="Z69" i="3" s="1"/>
  <c r="W56" i="3"/>
  <c r="Y56" i="3"/>
  <c r="Z7" i="3"/>
  <c r="AH7" i="3" s="1"/>
  <c r="Z21" i="3"/>
  <c r="AH21" i="3"/>
  <c r="W58" i="3"/>
  <c r="Y58" i="3"/>
  <c r="I29" i="4"/>
  <c r="M24" i="4"/>
  <c r="J135" i="4"/>
  <c r="U149" i="5" s="1"/>
  <c r="J112" i="4"/>
  <c r="U136" i="5"/>
  <c r="AH117" i="3"/>
  <c r="J67" i="4"/>
  <c r="U57" i="5"/>
  <c r="W73" i="3"/>
  <c r="Z73" i="3" s="1"/>
  <c r="W31" i="3"/>
  <c r="Z31" i="3"/>
  <c r="AH31" i="3"/>
  <c r="W146" i="3"/>
  <c r="Z146" i="3"/>
  <c r="Y48" i="3"/>
  <c r="Z48" i="3" s="1"/>
  <c r="Y107" i="3"/>
  <c r="W107" i="3"/>
  <c r="W76" i="3"/>
  <c r="Y76" i="3"/>
  <c r="Z76" i="3"/>
  <c r="I123" i="4"/>
  <c r="T138" i="5" s="1"/>
  <c r="J123" i="4"/>
  <c r="U138" i="5" s="1"/>
  <c r="M68" i="4"/>
  <c r="V95" i="5" s="1"/>
  <c r="I96" i="4"/>
  <c r="T146" i="5"/>
  <c r="Y124" i="3"/>
  <c r="Z124" i="3" s="1"/>
  <c r="AH124" i="3" s="1"/>
  <c r="W110" i="3"/>
  <c r="Y110" i="3"/>
  <c r="W92" i="3"/>
  <c r="Y92" i="3"/>
  <c r="Z92" i="3"/>
  <c r="I3" i="4"/>
  <c r="T31" i="5" s="1"/>
  <c r="M144" i="4"/>
  <c r="V86" i="5" s="1"/>
  <c r="I141" i="4"/>
  <c r="T62" i="5" s="1"/>
  <c r="J88" i="4"/>
  <c r="U119" i="5"/>
  <c r="J27" i="4"/>
  <c r="U5" i="5" s="1"/>
  <c r="Y141" i="3"/>
  <c r="AA75" i="3"/>
  <c r="O38" i="5" s="1"/>
  <c r="Q38" i="5" s="1"/>
  <c r="I101" i="5"/>
  <c r="J11" i="4"/>
  <c r="U24" i="5"/>
  <c r="J71" i="4"/>
  <c r="U56" i="5"/>
  <c r="W55" i="3"/>
  <c r="Z55" i="3" s="1"/>
  <c r="AH55" i="3" s="1"/>
  <c r="J122" i="4"/>
  <c r="U63" i="5"/>
  <c r="V108" i="4"/>
  <c r="Y54" i="5" s="1"/>
  <c r="AA98" i="3"/>
  <c r="O134" i="5" s="1"/>
  <c r="Q134" i="5" s="1"/>
  <c r="J44" i="4"/>
  <c r="U81" i="5"/>
  <c r="Y38" i="3"/>
  <c r="Z38" i="3"/>
  <c r="AH38" i="3" s="1"/>
  <c r="Z128" i="3"/>
  <c r="Y20" i="3"/>
  <c r="Z20" i="3"/>
  <c r="W6" i="3"/>
  <c r="Z6" i="3" s="1"/>
  <c r="AH6" i="3" s="1"/>
  <c r="Y6" i="3"/>
  <c r="M142" i="4"/>
  <c r="V68" i="5" s="1"/>
  <c r="I75" i="4"/>
  <c r="T38" i="5"/>
  <c r="Z27" i="3"/>
  <c r="AA27" i="3"/>
  <c r="O5" i="5" s="1"/>
  <c r="Z116" i="3"/>
  <c r="AH116" i="3" s="1"/>
  <c r="I116" i="4"/>
  <c r="M110" i="4"/>
  <c r="V79" i="5"/>
  <c r="I108" i="4"/>
  <c r="I107" i="4"/>
  <c r="T51" i="5"/>
  <c r="I98" i="4"/>
  <c r="T134" i="5" s="1"/>
  <c r="T71" i="5"/>
  <c r="M73" i="4"/>
  <c r="V87" i="5"/>
  <c r="M72" i="4"/>
  <c r="V78" i="5" s="1"/>
  <c r="M58" i="4"/>
  <c r="V99" i="5" s="1"/>
  <c r="I52" i="4"/>
  <c r="T89" i="5"/>
  <c r="M33" i="4"/>
  <c r="V98" i="5"/>
  <c r="I31" i="4"/>
  <c r="T147" i="75"/>
  <c r="AA147" i="75" s="1"/>
  <c r="J40" i="5" s="1"/>
  <c r="T139" i="75"/>
  <c r="I45" i="5"/>
  <c r="T123" i="75"/>
  <c r="I138" i="5"/>
  <c r="T115" i="75"/>
  <c r="I135" i="5" s="1"/>
  <c r="T107" i="75"/>
  <c r="AA107" i="75" s="1"/>
  <c r="T99" i="75"/>
  <c r="I88" i="5"/>
  <c r="T91" i="75"/>
  <c r="I12" i="5"/>
  <c r="T83" i="75"/>
  <c r="I64" i="5" s="1"/>
  <c r="T75" i="75"/>
  <c r="AA75" i="75" s="1"/>
  <c r="T59" i="75"/>
  <c r="I85" i="5" s="1"/>
  <c r="T51" i="75"/>
  <c r="I104" i="5"/>
  <c r="T35" i="75"/>
  <c r="T27" i="75"/>
  <c r="I5" i="5" s="1"/>
  <c r="T19" i="75"/>
  <c r="I29" i="5" s="1"/>
  <c r="T11" i="75"/>
  <c r="I24" i="5"/>
  <c r="N16" i="75"/>
  <c r="N91" i="75"/>
  <c r="P91" i="75" s="1"/>
  <c r="AE128" i="4"/>
  <c r="AB118" i="5" s="1"/>
  <c r="AE84" i="4"/>
  <c r="AB117" i="5" s="1"/>
  <c r="AE80" i="4"/>
  <c r="AB77" i="5"/>
  <c r="AE76" i="4"/>
  <c r="AE72" i="4"/>
  <c r="AB78" i="5" s="1"/>
  <c r="AE68" i="4"/>
  <c r="AB95" i="5" s="1"/>
  <c r="AE60" i="4"/>
  <c r="AB124" i="5" s="1"/>
  <c r="AE52" i="4"/>
  <c r="AB89" i="5"/>
  <c r="AE48" i="4"/>
  <c r="AB121" i="5" s="1"/>
  <c r="AE44" i="4"/>
  <c r="AB81" i="5" s="1"/>
  <c r="AE40" i="4"/>
  <c r="AE36" i="4"/>
  <c r="AB93" i="5"/>
  <c r="AE32" i="4"/>
  <c r="AB113" i="5" s="1"/>
  <c r="Z71" i="3"/>
  <c r="M139" i="4"/>
  <c r="V45" i="5" s="1"/>
  <c r="I65" i="4"/>
  <c r="T100" i="5" s="1"/>
  <c r="W32" i="3"/>
  <c r="Z32" i="3"/>
  <c r="W24" i="3"/>
  <c r="Z24" i="3"/>
  <c r="AE123" i="4"/>
  <c r="AB138" i="5" s="1"/>
  <c r="AE119" i="4"/>
  <c r="AB47" i="5" s="1"/>
  <c r="AE83" i="4"/>
  <c r="AB64" i="5"/>
  <c r="AE79" i="4"/>
  <c r="AB92" i="5"/>
  <c r="AE75" i="4"/>
  <c r="AB38" i="5" s="1"/>
  <c r="AE71" i="4"/>
  <c r="AB56" i="5" s="1"/>
  <c r="AE63" i="4"/>
  <c r="AB116" i="5"/>
  <c r="AE59" i="4"/>
  <c r="AB85" i="5"/>
  <c r="AE55" i="4"/>
  <c r="AB126" i="5" s="1"/>
  <c r="AE51" i="4"/>
  <c r="AB104" i="5" s="1"/>
  <c r="AE47" i="4"/>
  <c r="AB82" i="5"/>
  <c r="AE43" i="4"/>
  <c r="AB108" i="5"/>
  <c r="AE31" i="4"/>
  <c r="AB35" i="5" s="1"/>
  <c r="AE23" i="4"/>
  <c r="AB21" i="5" s="1"/>
  <c r="M38" i="4"/>
  <c r="V123" i="5"/>
  <c r="M37" i="4"/>
  <c r="V43" i="5"/>
  <c r="T125" i="5"/>
  <c r="J116" i="4"/>
  <c r="U125" i="5"/>
  <c r="W34" i="3"/>
  <c r="Y34" i="3"/>
  <c r="Y13" i="3"/>
  <c r="W13" i="3"/>
  <c r="S91" i="5"/>
  <c r="J45" i="4"/>
  <c r="U91" i="5"/>
  <c r="V46" i="4"/>
  <c r="Y106" i="5"/>
  <c r="T53" i="5"/>
  <c r="J143" i="4"/>
  <c r="U53" i="5" s="1"/>
  <c r="T70" i="5"/>
  <c r="J81" i="4"/>
  <c r="U70" i="5" s="1"/>
  <c r="J51" i="4"/>
  <c r="U104" i="5" s="1"/>
  <c r="Y147" i="3"/>
  <c r="Z147" i="3" s="1"/>
  <c r="AH147" i="3" s="1"/>
  <c r="W91" i="5"/>
  <c r="T113" i="5"/>
  <c r="J32" i="4"/>
  <c r="U113" i="5" s="1"/>
  <c r="T36" i="5"/>
  <c r="J93" i="4"/>
  <c r="U36" i="5"/>
  <c r="T110" i="5"/>
  <c r="Z123" i="3"/>
  <c r="AH123" i="3"/>
  <c r="W22" i="3"/>
  <c r="Y22" i="3"/>
  <c r="W17" i="5"/>
  <c r="T60" i="5"/>
  <c r="J41" i="4"/>
  <c r="U60" i="5"/>
  <c r="W44" i="5"/>
  <c r="I142" i="4"/>
  <c r="T68" i="5" s="1"/>
  <c r="S66" i="5"/>
  <c r="J50" i="4"/>
  <c r="U66" i="5" s="1"/>
  <c r="S82" i="5"/>
  <c r="J47" i="4"/>
  <c r="U82" i="5" s="1"/>
  <c r="AB63" i="5"/>
  <c r="AB114" i="5"/>
  <c r="Z105" i="3"/>
  <c r="AH105" i="3"/>
  <c r="Y15" i="3"/>
  <c r="W15" i="3"/>
  <c r="W49" i="3"/>
  <c r="Y49" i="3"/>
  <c r="S62" i="5"/>
  <c r="J141" i="4"/>
  <c r="U62" i="5" s="1"/>
  <c r="T55" i="5"/>
  <c r="J133" i="4"/>
  <c r="U55" i="5" s="1"/>
  <c r="AH122" i="3"/>
  <c r="Y41" i="3"/>
  <c r="W41" i="3"/>
  <c r="S28" i="5"/>
  <c r="J10" i="4"/>
  <c r="U28" i="5"/>
  <c r="Z135" i="3"/>
  <c r="J49" i="4"/>
  <c r="U96" i="5"/>
  <c r="J3" i="4"/>
  <c r="U31" i="5" s="1"/>
  <c r="V22" i="4"/>
  <c r="Y52" i="5" s="1"/>
  <c r="T73" i="5"/>
  <c r="J86" i="4"/>
  <c r="U73" i="5"/>
  <c r="T76" i="5"/>
  <c r="J56" i="4"/>
  <c r="U76" i="5"/>
  <c r="W133" i="3"/>
  <c r="Y133" i="3"/>
  <c r="W44" i="3"/>
  <c r="Y44" i="3"/>
  <c r="M145" i="4"/>
  <c r="V50" i="5" s="1"/>
  <c r="J77" i="4"/>
  <c r="U84" i="5"/>
  <c r="AH80" i="3"/>
  <c r="V138" i="4"/>
  <c r="Y101" i="5" s="1"/>
  <c r="J5" i="4"/>
  <c r="U32" i="5" s="1"/>
  <c r="W129" i="3"/>
  <c r="Z129" i="3"/>
  <c r="X42" i="5"/>
  <c r="V76" i="4"/>
  <c r="Y42" i="5" s="1"/>
  <c r="S69" i="5"/>
  <c r="AA57" i="3"/>
  <c r="O58" i="5" s="1"/>
  <c r="J57" i="4"/>
  <c r="U58" i="5"/>
  <c r="T58" i="5"/>
  <c r="W39" i="3"/>
  <c r="Z39" i="3" s="1"/>
  <c r="AH39" i="3" s="1"/>
  <c r="V51" i="4"/>
  <c r="Y104" i="5"/>
  <c r="V38" i="4"/>
  <c r="Y123" i="5" s="1"/>
  <c r="J101" i="4"/>
  <c r="U131" i="5" s="1"/>
  <c r="T147" i="5"/>
  <c r="J102" i="4"/>
  <c r="U147" i="5"/>
  <c r="Z25" i="3"/>
  <c r="AH25" i="3"/>
  <c r="Y121" i="3"/>
  <c r="W121" i="3"/>
  <c r="Y118" i="3"/>
  <c r="W118" i="3"/>
  <c r="Y114" i="3"/>
  <c r="W114" i="3"/>
  <c r="Y102" i="3"/>
  <c r="W102" i="3"/>
  <c r="Y97" i="3"/>
  <c r="W97" i="3"/>
  <c r="Z87" i="3"/>
  <c r="Z144" i="3"/>
  <c r="AH144" i="3" s="1"/>
  <c r="Z148" i="3"/>
  <c r="V32" i="4"/>
  <c r="Y113" i="5"/>
  <c r="Z41" i="5"/>
  <c r="V93" i="4"/>
  <c r="Y36" i="5"/>
  <c r="Z9" i="3"/>
  <c r="Z61" i="3"/>
  <c r="I140" i="4"/>
  <c r="T69" i="5" s="1"/>
  <c r="Z79" i="5"/>
  <c r="AA37" i="3"/>
  <c r="O43" i="5"/>
  <c r="Q43" i="5" s="1"/>
  <c r="Z126" i="3"/>
  <c r="Z84" i="3"/>
  <c r="AH84" i="3" s="1"/>
  <c r="Y96" i="3"/>
  <c r="Z96" i="3" s="1"/>
  <c r="Z29" i="3"/>
  <c r="AH29" i="3"/>
  <c r="Z95" i="3"/>
  <c r="Z94" i="3"/>
  <c r="AH94" i="3" s="1"/>
  <c r="Z59" i="5"/>
  <c r="AA91" i="3"/>
  <c r="O12" i="5" s="1"/>
  <c r="Z17" i="3"/>
  <c r="AH17" i="3"/>
  <c r="Z131" i="3"/>
  <c r="AA131" i="3" s="1"/>
  <c r="O111" i="5" s="1"/>
  <c r="V40" i="4"/>
  <c r="Y122" i="5"/>
  <c r="Y106" i="3"/>
  <c r="Z106" i="3"/>
  <c r="AA106" i="3"/>
  <c r="O75" i="5" s="1"/>
  <c r="Y30" i="3"/>
  <c r="Z30" i="3" s="1"/>
  <c r="Y104" i="3"/>
  <c r="Z104" i="3"/>
  <c r="I14" i="4"/>
  <c r="I13" i="4"/>
  <c r="AE86" i="4"/>
  <c r="AB73" i="5" s="1"/>
  <c r="AE46" i="4"/>
  <c r="AB106" i="5"/>
  <c r="AE42" i="4"/>
  <c r="AE38" i="4"/>
  <c r="AB123" i="5"/>
  <c r="AE22" i="4"/>
  <c r="M124" i="4"/>
  <c r="V143" i="5" s="1"/>
  <c r="V131" i="5"/>
  <c r="I85" i="4"/>
  <c r="I84" i="4"/>
  <c r="I83" i="4"/>
  <c r="T64" i="5"/>
  <c r="I82" i="4"/>
  <c r="AI147" i="4"/>
  <c r="AA40" i="5" s="1"/>
  <c r="AI139" i="4"/>
  <c r="AA45" i="5" s="1"/>
  <c r="AI131" i="4"/>
  <c r="AA111" i="5"/>
  <c r="AI123" i="4"/>
  <c r="AA138" i="5" s="1"/>
  <c r="AI115" i="4"/>
  <c r="AA135" i="5" s="1"/>
  <c r="AI107" i="4"/>
  <c r="AA51" i="5" s="1"/>
  <c r="AI99" i="4"/>
  <c r="AA88" i="5"/>
  <c r="AI91" i="4"/>
  <c r="AA12" i="5" s="1"/>
  <c r="AI83" i="4"/>
  <c r="AA64" i="5" s="1"/>
  <c r="AI67" i="4"/>
  <c r="AA57" i="5" s="1"/>
  <c r="AI51" i="4"/>
  <c r="AA104" i="5"/>
  <c r="AI27" i="4"/>
  <c r="AA5" i="5" s="1"/>
  <c r="AI19" i="4"/>
  <c r="AA29" i="5" s="1"/>
  <c r="AE145" i="4"/>
  <c r="AB50" i="5" s="1"/>
  <c r="AE141" i="4"/>
  <c r="AB62" i="5"/>
  <c r="AE137" i="4"/>
  <c r="AB144" i="5" s="1"/>
  <c r="AE133" i="4"/>
  <c r="AB55" i="5" s="1"/>
  <c r="AE129" i="4"/>
  <c r="AB132" i="5" s="1"/>
  <c r="AE117" i="4"/>
  <c r="AB133" i="5"/>
  <c r="AE109" i="4"/>
  <c r="AB83" i="5" s="1"/>
  <c r="AE101" i="4"/>
  <c r="AB131" i="5" s="1"/>
  <c r="AE93" i="4"/>
  <c r="AB36" i="5" s="1"/>
  <c r="AE53" i="4"/>
  <c r="AB109" i="5"/>
  <c r="AE49" i="4"/>
  <c r="AB96" i="5" s="1"/>
  <c r="AE45" i="4"/>
  <c r="AB91" i="5" s="1"/>
  <c r="AE41" i="4"/>
  <c r="AB60" i="5" s="1"/>
  <c r="AE37" i="4"/>
  <c r="AB43" i="5"/>
  <c r="AE33" i="4"/>
  <c r="AB98" i="5" s="1"/>
  <c r="AE29" i="4"/>
  <c r="AB4" i="5" s="1"/>
  <c r="AE25" i="4"/>
  <c r="AB7" i="5" s="1"/>
  <c r="AE9" i="4"/>
  <c r="AB27" i="5"/>
  <c r="Z132" i="5"/>
  <c r="Z125" i="5"/>
  <c r="Z142" i="5"/>
  <c r="Z65" i="5"/>
  <c r="Z130" i="5"/>
  <c r="Z71" i="5"/>
  <c r="Z72" i="5"/>
  <c r="Z58" i="5"/>
  <c r="Z126" i="5"/>
  <c r="Z60" i="5"/>
  <c r="Z93" i="5"/>
  <c r="Z34" i="5"/>
  <c r="V103" i="4"/>
  <c r="Y148" i="5"/>
  <c r="V87" i="4"/>
  <c r="Y72" i="5" s="1"/>
  <c r="V55" i="4"/>
  <c r="Y126" i="5"/>
  <c r="P145" i="4"/>
  <c r="S145" i="4" s="1"/>
  <c r="W50" i="5" s="1"/>
  <c r="P137" i="4"/>
  <c r="S137" i="4" s="1"/>
  <c r="W144" i="5"/>
  <c r="P129" i="4"/>
  <c r="S129" i="4"/>
  <c r="W132" i="5"/>
  <c r="P121" i="4"/>
  <c r="S121" i="4" s="1"/>
  <c r="P113" i="4"/>
  <c r="S113" i="4" s="1"/>
  <c r="W142" i="5" s="1"/>
  <c r="P105" i="4"/>
  <c r="S105" i="4"/>
  <c r="W127" i="5"/>
  <c r="P97" i="4"/>
  <c r="S97" i="4"/>
  <c r="W71" i="5" s="1"/>
  <c r="P89" i="4"/>
  <c r="S89" i="4"/>
  <c r="V89" i="4" s="1"/>
  <c r="Y10" i="5" s="1"/>
  <c r="P81" i="4"/>
  <c r="S81" i="4"/>
  <c r="V81" i="4" s="1"/>
  <c r="Y70" i="5" s="1"/>
  <c r="P73" i="4"/>
  <c r="S73" i="4"/>
  <c r="W87" i="5" s="1"/>
  <c r="P65" i="4"/>
  <c r="S65" i="4"/>
  <c r="W100" i="5"/>
  <c r="P57" i="4"/>
  <c r="S57" i="4" s="1"/>
  <c r="W58" i="5" s="1"/>
  <c r="P49" i="4"/>
  <c r="S49" i="4" s="1"/>
  <c r="V49" i="4" s="1"/>
  <c r="Y96" i="5" s="1"/>
  <c r="P41" i="4"/>
  <c r="S41" i="4" s="1"/>
  <c r="W60" i="5" s="1"/>
  <c r="P33" i="4"/>
  <c r="S33" i="4"/>
  <c r="V33" i="4" s="1"/>
  <c r="Y98" i="5" s="1"/>
  <c r="P25" i="4"/>
  <c r="S25" i="4" s="1"/>
  <c r="W7" i="5" s="1"/>
  <c r="P17" i="4"/>
  <c r="S17" i="4" s="1"/>
  <c r="W13" i="5"/>
  <c r="P9" i="4"/>
  <c r="S9" i="4"/>
  <c r="W27" i="5" s="1"/>
  <c r="M137" i="4"/>
  <c r="V144" i="5" s="1"/>
  <c r="M92" i="4"/>
  <c r="V11" i="5" s="1"/>
  <c r="I28" i="4"/>
  <c r="T145" i="75"/>
  <c r="I50" i="5"/>
  <c r="T137" i="75"/>
  <c r="I144" i="5" s="1"/>
  <c r="T129" i="75"/>
  <c r="I132" i="5" s="1"/>
  <c r="T121" i="75"/>
  <c r="AA121" i="75" s="1"/>
  <c r="I107" i="5"/>
  <c r="T113" i="75"/>
  <c r="I142" i="5"/>
  <c r="T105" i="75"/>
  <c r="I127" i="5" s="1"/>
  <c r="T97" i="75"/>
  <c r="I71" i="5" s="1"/>
  <c r="T89" i="75"/>
  <c r="I10" i="5"/>
  <c r="T81" i="75"/>
  <c r="I70" i="5"/>
  <c r="T73" i="75"/>
  <c r="I87" i="5" s="1"/>
  <c r="T65" i="75"/>
  <c r="I100" i="5" s="1"/>
  <c r="T57" i="75"/>
  <c r="I58" i="5"/>
  <c r="T49" i="75"/>
  <c r="I96" i="5"/>
  <c r="T41" i="75"/>
  <c r="I60" i="5" s="1"/>
  <c r="T33" i="75"/>
  <c r="AA33" i="75" s="1"/>
  <c r="T25" i="75"/>
  <c r="AA25" i="75" s="1"/>
  <c r="I7" i="5"/>
  <c r="T17" i="75"/>
  <c r="J13" i="5"/>
  <c r="T9" i="75"/>
  <c r="AA9" i="75" s="1"/>
  <c r="Z68" i="5"/>
  <c r="M95" i="4"/>
  <c r="V129" i="5" s="1"/>
  <c r="M64" i="4"/>
  <c r="V114" i="5" s="1"/>
  <c r="M63" i="4"/>
  <c r="V116" i="5"/>
  <c r="I60" i="4"/>
  <c r="T134" i="75"/>
  <c r="I59" i="5" s="1"/>
  <c r="T110" i="75"/>
  <c r="I79" i="5"/>
  <c r="T102" i="75"/>
  <c r="I147" i="5"/>
  <c r="T94" i="75"/>
  <c r="I74" i="5" s="1"/>
  <c r="T86" i="75"/>
  <c r="I73" i="5" s="1"/>
  <c r="T78" i="75"/>
  <c r="I97" i="5"/>
  <c r="T70" i="75"/>
  <c r="J44" i="5"/>
  <c r="T62" i="75"/>
  <c r="I102" i="5" s="1"/>
  <c r="T54" i="75"/>
  <c r="I46" i="5" s="1"/>
  <c r="T46" i="75"/>
  <c r="I106" i="5"/>
  <c r="T38" i="75"/>
  <c r="I123" i="5"/>
  <c r="T30" i="75"/>
  <c r="I19" i="5" s="1"/>
  <c r="T22" i="75"/>
  <c r="I52" i="5" s="1"/>
  <c r="T14" i="75"/>
  <c r="AA14" i="75" s="1"/>
  <c r="I15" i="5"/>
  <c r="T6" i="75"/>
  <c r="I30" i="5"/>
  <c r="T136" i="75"/>
  <c r="I141" i="5" s="1"/>
  <c r="T128" i="75"/>
  <c r="I118" i="5" s="1"/>
  <c r="T112" i="75"/>
  <c r="I136" i="5"/>
  <c r="T104" i="75"/>
  <c r="I145" i="5"/>
  <c r="T96" i="75"/>
  <c r="I146" i="5" s="1"/>
  <c r="T80" i="75"/>
  <c r="I77" i="5" s="1"/>
  <c r="T72" i="75"/>
  <c r="I78" i="5"/>
  <c r="T64" i="75"/>
  <c r="I114" i="5"/>
  <c r="T56" i="75"/>
  <c r="AA56" i="75" s="1"/>
  <c r="T40" i="75"/>
  <c r="I122" i="5"/>
  <c r="T32" i="75"/>
  <c r="I113" i="5" s="1"/>
  <c r="T24" i="75"/>
  <c r="AA24" i="75" s="1"/>
  <c r="J23" i="5" s="1"/>
  <c r="T16" i="75"/>
  <c r="I17" i="5"/>
  <c r="T8" i="75"/>
  <c r="I33" i="5"/>
  <c r="Z101" i="3"/>
  <c r="AH101" i="3"/>
  <c r="M3" i="4"/>
  <c r="V31" i="5"/>
  <c r="M96" i="4"/>
  <c r="V146" i="5"/>
  <c r="M70" i="4"/>
  <c r="V44" i="5" s="1"/>
  <c r="M69" i="4"/>
  <c r="V128" i="5" s="1"/>
  <c r="I22" i="4"/>
  <c r="T52" i="5" s="1"/>
  <c r="M15" i="4"/>
  <c r="V26" i="5" s="1"/>
  <c r="AE87" i="4"/>
  <c r="AB72" i="5" s="1"/>
  <c r="I114" i="4"/>
  <c r="T140" i="5" s="1"/>
  <c r="M98" i="4"/>
  <c r="V134" i="5" s="1"/>
  <c r="AH148" i="3"/>
  <c r="AI79" i="4"/>
  <c r="AA92" i="5"/>
  <c r="AI39" i="4"/>
  <c r="AA94" i="5"/>
  <c r="AI15" i="4"/>
  <c r="AA26" i="5"/>
  <c r="W39" i="5"/>
  <c r="T104" i="5"/>
  <c r="W127" i="3"/>
  <c r="Y127" i="3"/>
  <c r="Y10" i="3"/>
  <c r="W10" i="3"/>
  <c r="AI135" i="4"/>
  <c r="AA149" i="5"/>
  <c r="AI103" i="4"/>
  <c r="AA148" i="5"/>
  <c r="AI7" i="4"/>
  <c r="AA14" i="5" s="1"/>
  <c r="AI119" i="4"/>
  <c r="AA47" i="5" s="1"/>
  <c r="AI47" i="4"/>
  <c r="AA82" i="5"/>
  <c r="AI31" i="4"/>
  <c r="AA35" i="5"/>
  <c r="Y64" i="3"/>
  <c r="W64" i="3"/>
  <c r="AI95" i="4"/>
  <c r="AA129" i="5" s="1"/>
  <c r="AI63" i="4"/>
  <c r="AA116" i="5"/>
  <c r="AI23" i="4"/>
  <c r="AA21" i="5"/>
  <c r="J111" i="4"/>
  <c r="U65" i="5" s="1"/>
  <c r="Z53" i="3"/>
  <c r="Z33" i="3"/>
  <c r="T101" i="5"/>
  <c r="J138" i="4"/>
  <c r="U101" i="5" s="1"/>
  <c r="AI127" i="4"/>
  <c r="AA120" i="5" s="1"/>
  <c r="AI111" i="4"/>
  <c r="AA65" i="5" s="1"/>
  <c r="AI87" i="4"/>
  <c r="AA72" i="5" s="1"/>
  <c r="W94" i="5"/>
  <c r="J105" i="4"/>
  <c r="U127" i="5" s="1"/>
  <c r="V44" i="4"/>
  <c r="Y81" i="5" s="1"/>
  <c r="V106" i="4"/>
  <c r="Y75" i="5" s="1"/>
  <c r="T114" i="5"/>
  <c r="U114" i="5"/>
  <c r="Y88" i="3"/>
  <c r="Z88" i="3"/>
  <c r="W33" i="5"/>
  <c r="V8" i="4"/>
  <c r="Y33" i="5" s="1"/>
  <c r="AI143" i="4"/>
  <c r="AA53" i="5"/>
  <c r="AI71" i="4"/>
  <c r="AA56" i="5"/>
  <c r="AA103" i="3"/>
  <c r="O148" i="5"/>
  <c r="W126" i="5"/>
  <c r="Z19" i="3"/>
  <c r="Z63" i="3"/>
  <c r="AI55" i="4"/>
  <c r="AA126" i="5" s="1"/>
  <c r="V98" i="4"/>
  <c r="Y134" i="5" s="1"/>
  <c r="V107" i="4"/>
  <c r="Y51" i="5" s="1"/>
  <c r="W122" i="5"/>
  <c r="T143" i="5"/>
  <c r="AA50" i="3"/>
  <c r="O66" i="5" s="1"/>
  <c r="J144" i="4"/>
  <c r="U86" i="5" s="1"/>
  <c r="J66" i="4"/>
  <c r="U67" i="5" s="1"/>
  <c r="V74" i="4"/>
  <c r="Y90" i="5"/>
  <c r="J17" i="4"/>
  <c r="U13" i="5" s="1"/>
  <c r="V21" i="4"/>
  <c r="Y9" i="5" s="1"/>
  <c r="AH18" i="3"/>
  <c r="J8" i="4"/>
  <c r="U33" i="5"/>
  <c r="W86" i="3"/>
  <c r="Y86" i="3"/>
  <c r="Y81" i="3"/>
  <c r="W81" i="3"/>
  <c r="Y90" i="3"/>
  <c r="W90" i="3"/>
  <c r="W36" i="3"/>
  <c r="Y36" i="3"/>
  <c r="Z10" i="5"/>
  <c r="L18" i="75"/>
  <c r="N18" i="75" s="1"/>
  <c r="P18" i="75" s="1"/>
  <c r="F18" i="5" s="1"/>
  <c r="L10" i="75"/>
  <c r="N10" i="75"/>
  <c r="P10" i="75" s="1"/>
  <c r="F28" i="5" s="1"/>
  <c r="L93" i="75"/>
  <c r="N93" i="75"/>
  <c r="P93" i="75" s="1"/>
  <c r="F36" i="5" s="1"/>
  <c r="AE97" i="4"/>
  <c r="AB71" i="5"/>
  <c r="W138" i="3"/>
  <c r="Y138" i="3"/>
  <c r="W120" i="3"/>
  <c r="Y120" i="3"/>
  <c r="W112" i="3"/>
  <c r="Y112" i="3"/>
  <c r="W93" i="3"/>
  <c r="Y93" i="3"/>
  <c r="AH89" i="3"/>
  <c r="W125" i="3"/>
  <c r="Z125" i="3" s="1"/>
  <c r="Y78" i="3"/>
  <c r="W78" i="3"/>
  <c r="J95" i="4"/>
  <c r="U129" i="5"/>
  <c r="Z100" i="3"/>
  <c r="Z127" i="5"/>
  <c r="Z143" i="5"/>
  <c r="Z107" i="5"/>
  <c r="Z87" i="5"/>
  <c r="Z95" i="5"/>
  <c r="Z100" i="5"/>
  <c r="M35" i="4"/>
  <c r="V39" i="5" s="1"/>
  <c r="Z42" i="5"/>
  <c r="I55" i="4"/>
  <c r="L92" i="75"/>
  <c r="N92" i="75" s="1"/>
  <c r="P92" i="75" s="1"/>
  <c r="F11" i="5" s="1"/>
  <c r="M15" i="75"/>
  <c r="N15" i="75"/>
  <c r="M90" i="75"/>
  <c r="N90" i="75" s="1"/>
  <c r="P90" i="75"/>
  <c r="F20" i="5" s="1"/>
  <c r="AE125" i="4"/>
  <c r="AE89" i="4"/>
  <c r="AB10" i="5" s="1"/>
  <c r="AE21" i="4"/>
  <c r="AE17" i="4"/>
  <c r="AE13" i="4"/>
  <c r="AE5" i="4"/>
  <c r="I146" i="4"/>
  <c r="J146" i="4"/>
  <c r="U48" i="5"/>
  <c r="I145" i="4"/>
  <c r="M130" i="4"/>
  <c r="V110" i="5" s="1"/>
  <c r="M129" i="4"/>
  <c r="V132" i="5"/>
  <c r="M127" i="4"/>
  <c r="V120" i="5"/>
  <c r="I99" i="4"/>
  <c r="Z96" i="5"/>
  <c r="M41" i="4"/>
  <c r="V60" i="5" s="1"/>
  <c r="J25" i="5"/>
  <c r="AE144" i="4"/>
  <c r="AB86" i="5" s="1"/>
  <c r="AE140" i="4"/>
  <c r="AB69" i="5" s="1"/>
  <c r="AE136" i="4"/>
  <c r="AB141" i="5" s="1"/>
  <c r="J15" i="4"/>
  <c r="U26" i="5" s="1"/>
  <c r="W55" i="5"/>
  <c r="Z117" i="5"/>
  <c r="J92" i="5"/>
  <c r="AE20" i="4"/>
  <c r="AB8" i="5" s="1"/>
  <c r="AE16" i="4"/>
  <c r="AB17" i="5" s="1"/>
  <c r="AE12" i="4"/>
  <c r="AB25" i="5"/>
  <c r="AE8" i="4"/>
  <c r="AE4" i="4"/>
  <c r="Z15" i="5"/>
  <c r="Z136" i="3"/>
  <c r="Z40" i="3"/>
  <c r="AH40" i="3" s="1"/>
  <c r="Z53" i="5"/>
  <c r="M141" i="4"/>
  <c r="V62" i="5" s="1"/>
  <c r="I134" i="4"/>
  <c r="M59" i="4"/>
  <c r="V85" i="5"/>
  <c r="M28" i="4"/>
  <c r="V6" i="5"/>
  <c r="M26" i="4"/>
  <c r="V22" i="5"/>
  <c r="AI75" i="4"/>
  <c r="AI59" i="4"/>
  <c r="AI43" i="4"/>
  <c r="AA108" i="5"/>
  <c r="AI35" i="4"/>
  <c r="AA39" i="5"/>
  <c r="AI11" i="4"/>
  <c r="AA24" i="5"/>
  <c r="AI93" i="4"/>
  <c r="AA36" i="5"/>
  <c r="AI69" i="4"/>
  <c r="AA128" i="5"/>
  <c r="AI53" i="4"/>
  <c r="AA109" i="5"/>
  <c r="AI37" i="4"/>
  <c r="AA43" i="5"/>
  <c r="AI21" i="4"/>
  <c r="AA9" i="5"/>
  <c r="AI5" i="4"/>
  <c r="AA32" i="5"/>
  <c r="AE147" i="4"/>
  <c r="AB40" i="5"/>
  <c r="AE143" i="4"/>
  <c r="AE139" i="4"/>
  <c r="AE131" i="4"/>
  <c r="AB111" i="5"/>
  <c r="AE111" i="4"/>
  <c r="AE107" i="4"/>
  <c r="AB51" i="5" s="1"/>
  <c r="AE103" i="4"/>
  <c r="AE95" i="4"/>
  <c r="M84" i="4"/>
  <c r="V117" i="5"/>
  <c r="M80" i="4"/>
  <c r="V77" i="5"/>
  <c r="M79" i="4"/>
  <c r="V92" i="5"/>
  <c r="Z79" i="3"/>
  <c r="Z70" i="3"/>
  <c r="V75" i="4"/>
  <c r="Y38" i="5" s="1"/>
  <c r="M147" i="4"/>
  <c r="V40" i="5" s="1"/>
  <c r="M146" i="4"/>
  <c r="V48" i="5" s="1"/>
  <c r="M143" i="4"/>
  <c r="V53" i="5"/>
  <c r="Z129" i="5"/>
  <c r="Z11" i="5"/>
  <c r="AI104" i="4"/>
  <c r="AA145" i="5"/>
  <c r="AI100" i="4"/>
  <c r="AA130" i="5" s="1"/>
  <c r="AI88" i="4"/>
  <c r="AA119" i="5" s="1"/>
  <c r="AI80" i="4"/>
  <c r="AI52" i="4"/>
  <c r="AA89" i="5"/>
  <c r="AI28" i="4"/>
  <c r="AA6" i="5"/>
  <c r="AI12" i="4"/>
  <c r="AA25" i="5"/>
  <c r="AE146" i="4"/>
  <c r="AE142" i="4"/>
  <c r="AE138" i="4"/>
  <c r="AE134" i="4"/>
  <c r="AB59" i="5" s="1"/>
  <c r="AE130" i="4"/>
  <c r="AE110" i="4"/>
  <c r="AE106" i="4"/>
  <c r="AE102" i="4"/>
  <c r="AE94" i="4"/>
  <c r="AB74" i="5" s="1"/>
  <c r="P14" i="75"/>
  <c r="F15" i="5" s="1"/>
  <c r="P16" i="75"/>
  <c r="F17" i="5"/>
  <c r="P7" i="75"/>
  <c r="F14" i="5"/>
  <c r="G3" i="75"/>
  <c r="P3" i="75"/>
  <c r="F31" i="5" s="1"/>
  <c r="G12" i="75"/>
  <c r="P12" i="75" s="1"/>
  <c r="F25" i="5" s="1"/>
  <c r="G4" i="75"/>
  <c r="P4" i="75"/>
  <c r="G19" i="75"/>
  <c r="G11" i="75"/>
  <c r="P11" i="75" s="1"/>
  <c r="F24" i="5" s="1"/>
  <c r="F12" i="5"/>
  <c r="O79" i="75"/>
  <c r="E92" i="5"/>
  <c r="O16" i="75"/>
  <c r="E17" i="5"/>
  <c r="O8" i="75"/>
  <c r="E33" i="5"/>
  <c r="O91" i="75"/>
  <c r="E12" i="5"/>
  <c r="X38" i="5"/>
  <c r="V31" i="4"/>
  <c r="Y35" i="5" s="1"/>
  <c r="V131" i="4"/>
  <c r="Y111" i="5"/>
  <c r="V110" i="4"/>
  <c r="Y79" i="5"/>
  <c r="V117" i="4"/>
  <c r="Y133" i="5"/>
  <c r="V50" i="4"/>
  <c r="Y66" i="5" s="1"/>
  <c r="W25" i="5"/>
  <c r="V12" i="4"/>
  <c r="Y25" i="5"/>
  <c r="W119" i="5"/>
  <c r="V88" i="4"/>
  <c r="Y119" i="5" s="1"/>
  <c r="W37" i="5"/>
  <c r="W32" i="5"/>
  <c r="V5" i="4"/>
  <c r="Y32" i="5"/>
  <c r="V56" i="4"/>
  <c r="Y76" i="5"/>
  <c r="W76" i="5"/>
  <c r="W73" i="5"/>
  <c r="W22" i="5"/>
  <c r="V26" i="4"/>
  <c r="Y22" i="5" s="1"/>
  <c r="W108" i="5"/>
  <c r="W146" i="5"/>
  <c r="W95" i="5"/>
  <c r="V68" i="4"/>
  <c r="Y95" i="5" s="1"/>
  <c r="V61" i="4"/>
  <c r="Y103" i="5" s="1"/>
  <c r="J120" i="4"/>
  <c r="U137" i="5" s="1"/>
  <c r="J19" i="4"/>
  <c r="U29" i="5" s="1"/>
  <c r="J23" i="4"/>
  <c r="U21" i="5" s="1"/>
  <c r="AB88" i="5"/>
  <c r="V148" i="4"/>
  <c r="Y49" i="5" s="1"/>
  <c r="V10" i="4"/>
  <c r="Y28" i="5" s="1"/>
  <c r="V101" i="4"/>
  <c r="Y131" i="5" s="1"/>
  <c r="W20" i="5"/>
  <c r="V112" i="4"/>
  <c r="Y136" i="5" s="1"/>
  <c r="J89" i="4"/>
  <c r="U10" i="5" s="1"/>
  <c r="J39" i="4"/>
  <c r="U94" i="5" s="1"/>
  <c r="V29" i="4"/>
  <c r="Y4" i="5"/>
  <c r="J137" i="4"/>
  <c r="U144" i="5"/>
  <c r="J115" i="4"/>
  <c r="U135" i="5"/>
  <c r="T77" i="5"/>
  <c r="X88" i="5"/>
  <c r="AA127" i="5"/>
  <c r="S82" i="4"/>
  <c r="AB143" i="5"/>
  <c r="AB42" i="5"/>
  <c r="AB122" i="5"/>
  <c r="W79" i="5"/>
  <c r="W46" i="5"/>
  <c r="J87" i="4"/>
  <c r="U72" i="5"/>
  <c r="J46" i="4"/>
  <c r="U106" i="5" s="1"/>
  <c r="J83" i="4"/>
  <c r="U64" i="5" s="1"/>
  <c r="V111" i="4"/>
  <c r="Y65" i="5" s="1"/>
  <c r="V77" i="4"/>
  <c r="Y84" i="5"/>
  <c r="V4" i="4"/>
  <c r="Y34" i="5" s="1"/>
  <c r="V65" i="4"/>
  <c r="Y100" i="5" s="1"/>
  <c r="W41" i="5"/>
  <c r="V23" i="4"/>
  <c r="Y21" i="5"/>
  <c r="J38" i="4"/>
  <c r="U123" i="5"/>
  <c r="T116" i="5"/>
  <c r="V62" i="4"/>
  <c r="Y102" i="5" s="1"/>
  <c r="T48" i="5"/>
  <c r="J110" i="4"/>
  <c r="U79" i="5" s="1"/>
  <c r="J65" i="4"/>
  <c r="U100" i="5" s="1"/>
  <c r="J100" i="4"/>
  <c r="U130" i="5" s="1"/>
  <c r="J121" i="4"/>
  <c r="U107" i="5" s="1"/>
  <c r="AJ101" i="4"/>
  <c r="AC131" i="5" s="1"/>
  <c r="AA131" i="5"/>
  <c r="V84" i="4"/>
  <c r="Y117" i="5"/>
  <c r="J54" i="4"/>
  <c r="U46" i="5"/>
  <c r="J142" i="4"/>
  <c r="U68" i="5"/>
  <c r="W148" i="5"/>
  <c r="J104" i="4"/>
  <c r="U145" i="5" s="1"/>
  <c r="J48" i="4"/>
  <c r="U121" i="5" s="1"/>
  <c r="Z40" i="5"/>
  <c r="S19" i="4"/>
  <c r="W29" i="5"/>
  <c r="S83" i="4"/>
  <c r="AI89" i="4"/>
  <c r="AI65" i="4"/>
  <c r="AA100" i="5"/>
  <c r="V122" i="4"/>
  <c r="Y63" i="5"/>
  <c r="Z122" i="5"/>
  <c r="AE108" i="4"/>
  <c r="AE104" i="4"/>
  <c r="AE100" i="4"/>
  <c r="AE96" i="4"/>
  <c r="AE92" i="4"/>
  <c r="AE88" i="4"/>
  <c r="AE85" i="4"/>
  <c r="AE81" i="4"/>
  <c r="AE77" i="4"/>
  <c r="AE73" i="4"/>
  <c r="AE69" i="4"/>
  <c r="AE65" i="4"/>
  <c r="AE61" i="4"/>
  <c r="AE57" i="4"/>
  <c r="Z118" i="5"/>
  <c r="Z119" i="5"/>
  <c r="Z70" i="5"/>
  <c r="AE54" i="4"/>
  <c r="Z30" i="5"/>
  <c r="AE34" i="4"/>
  <c r="AE30" i="4"/>
  <c r="AE26" i="4"/>
  <c r="AE18" i="4"/>
  <c r="AE14" i="4"/>
  <c r="AE10" i="4"/>
  <c r="AE6" i="4"/>
  <c r="V78" i="4"/>
  <c r="Y97" i="5"/>
  <c r="V119" i="4"/>
  <c r="Y47" i="5"/>
  <c r="V47" i="4"/>
  <c r="Y82" i="5"/>
  <c r="V132" i="4"/>
  <c r="Y61" i="5"/>
  <c r="V136" i="4"/>
  <c r="Y141" i="5"/>
  <c r="V144" i="4"/>
  <c r="Y86" i="5"/>
  <c r="H45" i="5"/>
  <c r="W135" i="75"/>
  <c r="Z135" i="75"/>
  <c r="W148" i="75"/>
  <c r="Z17" i="75"/>
  <c r="H88" i="5"/>
  <c r="Z99" i="75"/>
  <c r="H141" i="5"/>
  <c r="H98" i="5"/>
  <c r="Z21" i="75"/>
  <c r="Z29" i="75"/>
  <c r="J141" i="5"/>
  <c r="J67" i="5"/>
  <c r="H67" i="5"/>
  <c r="Z103" i="75"/>
  <c r="H71" i="5"/>
  <c r="Z127" i="75"/>
  <c r="W142" i="75"/>
  <c r="AA142" i="75" s="1"/>
  <c r="W119" i="75"/>
  <c r="Z119" i="75" s="1"/>
  <c r="Z66" i="75"/>
  <c r="W63" i="75"/>
  <c r="W94" i="75"/>
  <c r="W90" i="75"/>
  <c r="W15" i="75"/>
  <c r="W7" i="75"/>
  <c r="W65" i="75"/>
  <c r="W116" i="75"/>
  <c r="W108" i="75"/>
  <c r="Z108" i="75" s="1"/>
  <c r="W37" i="75"/>
  <c r="AA37" i="75"/>
  <c r="I47" i="5"/>
  <c r="I26" i="5"/>
  <c r="Q14" i="75"/>
  <c r="G15" i="5"/>
  <c r="O56" i="75"/>
  <c r="E76" i="5"/>
  <c r="W67" i="75"/>
  <c r="AA67" i="75"/>
  <c r="H76" i="5"/>
  <c r="Z56" i="75"/>
  <c r="Y48" i="75"/>
  <c r="E27" i="5"/>
  <c r="I86" i="5"/>
  <c r="H41" i="5"/>
  <c r="Y86" i="75"/>
  <c r="W86" i="75"/>
  <c r="AA86" i="75" s="1"/>
  <c r="I14" i="5"/>
  <c r="J7" i="5"/>
  <c r="I13" i="5"/>
  <c r="H25" i="5"/>
  <c r="Y90" i="75"/>
  <c r="W98" i="75"/>
  <c r="J15" i="5"/>
  <c r="I23" i="5"/>
  <c r="P13" i="75"/>
  <c r="F16" i="5" s="1"/>
  <c r="J11" i="5"/>
  <c r="I11" i="5"/>
  <c r="N9" i="75"/>
  <c r="J105" i="5"/>
  <c r="H105" i="5"/>
  <c r="Y101" i="75"/>
  <c r="W101" i="75"/>
  <c r="AA101" i="75" s="1"/>
  <c r="H99" i="5"/>
  <c r="Z58" i="75"/>
  <c r="H94" i="5"/>
  <c r="E143" i="5"/>
  <c r="J99" i="5"/>
  <c r="I4" i="5"/>
  <c r="J4" i="5"/>
  <c r="E25" i="5"/>
  <c r="W128" i="75"/>
  <c r="AA128" i="75"/>
  <c r="Y128" i="75"/>
  <c r="H12" i="5"/>
  <c r="J95" i="5"/>
  <c r="I95" i="5"/>
  <c r="Y4" i="75"/>
  <c r="H111" i="5"/>
  <c r="J111" i="5"/>
  <c r="J130" i="5"/>
  <c r="H130" i="5"/>
  <c r="W48" i="75"/>
  <c r="AA48" i="75"/>
  <c r="Y34" i="75"/>
  <c r="Y59" i="75"/>
  <c r="Y116" i="75"/>
  <c r="Y124" i="75"/>
  <c r="Y139" i="75"/>
  <c r="Z139" i="75"/>
  <c r="O26" i="75"/>
  <c r="E22" i="5"/>
  <c r="W137" i="75"/>
  <c r="W133" i="75"/>
  <c r="W122" i="75"/>
  <c r="W118" i="75"/>
  <c r="W114" i="75"/>
  <c r="Y57" i="75"/>
  <c r="Z57" i="75" s="1"/>
  <c r="Y49" i="75"/>
  <c r="Z49" i="75" s="1"/>
  <c r="W5" i="75"/>
  <c r="W27" i="75"/>
  <c r="AA27" i="75" s="1"/>
  <c r="W4" i="75"/>
  <c r="P89" i="75"/>
  <c r="F10" i="5"/>
  <c r="P6" i="75"/>
  <c r="Z35" i="75"/>
  <c r="Y75" i="75"/>
  <c r="Z75" i="75"/>
  <c r="Y82" i="75"/>
  <c r="Z125" i="75"/>
  <c r="O36" i="75"/>
  <c r="E93" i="5"/>
  <c r="W102" i="75"/>
  <c r="W83" i="75"/>
  <c r="Y64" i="75"/>
  <c r="W60" i="75"/>
  <c r="J6" i="5"/>
  <c r="Z9" i="75"/>
  <c r="Z97" i="75"/>
  <c r="Y38" i="75"/>
  <c r="Y44" i="75"/>
  <c r="Y105" i="75"/>
  <c r="Y112" i="75"/>
  <c r="Y120" i="75"/>
  <c r="O137" i="75"/>
  <c r="E144" i="5"/>
  <c r="W124" i="75"/>
  <c r="AA124" i="75" s="1"/>
  <c r="W112" i="75"/>
  <c r="AA112" i="75" s="1"/>
  <c r="W105" i="75"/>
  <c r="AA105" i="75" s="1"/>
  <c r="Y22" i="75"/>
  <c r="Z39" i="75"/>
  <c r="Y63" i="75"/>
  <c r="Y71" i="75"/>
  <c r="Z71" i="75"/>
  <c r="Y143" i="75"/>
  <c r="O138" i="75"/>
  <c r="E101" i="5" s="1"/>
  <c r="W146" i="75"/>
  <c r="AA146" i="75" s="1"/>
  <c r="Y81" i="75"/>
  <c r="Z81" i="75" s="1"/>
  <c r="W30" i="75"/>
  <c r="W23" i="75"/>
  <c r="Y8" i="75"/>
  <c r="Y15" i="75"/>
  <c r="Y27" i="75"/>
  <c r="Y79" i="75"/>
  <c r="Z79" i="75" s="1"/>
  <c r="Z107" i="75"/>
  <c r="Z131" i="75"/>
  <c r="O129" i="75"/>
  <c r="E132" i="5"/>
  <c r="W145" i="75"/>
  <c r="AA145" i="75"/>
  <c r="W89" i="75"/>
  <c r="W85" i="75"/>
  <c r="W73" i="75"/>
  <c r="W69" i="75"/>
  <c r="W43" i="75"/>
  <c r="W6" i="75"/>
  <c r="AA6" i="75" s="1"/>
  <c r="P9" i="75"/>
  <c r="F27" i="5" s="1"/>
  <c r="Z33" i="75"/>
  <c r="Y52" i="75"/>
  <c r="Z52" i="75"/>
  <c r="Z100" i="75"/>
  <c r="Y108" i="75"/>
  <c r="O142" i="75"/>
  <c r="E68" i="5" s="1"/>
  <c r="O42" i="75"/>
  <c r="O5" i="75"/>
  <c r="E32" i="5" s="1"/>
  <c r="G15" i="75"/>
  <c r="N5" i="75"/>
  <c r="P5" i="75"/>
  <c r="H61" i="5"/>
  <c r="Z132" i="75"/>
  <c r="Z68" i="75"/>
  <c r="Z144" i="75"/>
  <c r="H86" i="5"/>
  <c r="Z87" i="75"/>
  <c r="H72" i="5"/>
  <c r="H107" i="5"/>
  <c r="J107" i="5"/>
  <c r="H6" i="5"/>
  <c r="H56" i="5"/>
  <c r="W31" i="75"/>
  <c r="AA31" i="75"/>
  <c r="J27" i="5"/>
  <c r="H92" i="5"/>
  <c r="Z129" i="75"/>
  <c r="Z36" i="75"/>
  <c r="J58" i="5"/>
  <c r="J122" i="5"/>
  <c r="Z40" i="75"/>
  <c r="H122" i="5"/>
  <c r="J61" i="5"/>
  <c r="J89" i="5"/>
  <c r="I48" i="5"/>
  <c r="Y60" i="75"/>
  <c r="W22" i="75"/>
  <c r="AA22" i="75" s="1"/>
  <c r="Z95" i="75"/>
  <c r="J8" i="5"/>
  <c r="H144" i="5"/>
  <c r="O13" i="75"/>
  <c r="Z12" i="75"/>
  <c r="Y25" i="75"/>
  <c r="Z25" i="75"/>
  <c r="Y88" i="75"/>
  <c r="Z88" i="75"/>
  <c r="O136" i="75"/>
  <c r="O88" i="75"/>
  <c r="O83" i="75"/>
  <c r="E64" i="5"/>
  <c r="O52" i="75"/>
  <c r="O31" i="75"/>
  <c r="E35" i="5" s="1"/>
  <c r="O29" i="75"/>
  <c r="E4" i="5" s="1"/>
  <c r="O28" i="75"/>
  <c r="E6" i="5" s="1"/>
  <c r="W140" i="75"/>
  <c r="AA140" i="75" s="1"/>
  <c r="Y94" i="75"/>
  <c r="O135" i="75"/>
  <c r="O131" i="75"/>
  <c r="E111" i="5"/>
  <c r="O108" i="75"/>
  <c r="O99" i="75"/>
  <c r="E88" i="5" s="1"/>
  <c r="W143" i="75"/>
  <c r="W120" i="75"/>
  <c r="AA120" i="75"/>
  <c r="W111" i="75"/>
  <c r="AA111" i="75"/>
  <c r="W18" i="75"/>
  <c r="W8" i="75"/>
  <c r="AA8" i="75" s="1"/>
  <c r="O89" i="75"/>
  <c r="Y31" i="75"/>
  <c r="Z147" i="75"/>
  <c r="O73" i="75"/>
  <c r="E87" i="5"/>
  <c r="O55" i="75"/>
  <c r="Z14" i="75"/>
  <c r="Y53" i="75"/>
  <c r="Y67" i="75"/>
  <c r="Z126" i="75"/>
  <c r="O128" i="75"/>
  <c r="E118" i="5"/>
  <c r="O117" i="75"/>
  <c r="E133" i="5"/>
  <c r="O116" i="75"/>
  <c r="O107" i="75"/>
  <c r="O75" i="75"/>
  <c r="O69" i="75"/>
  <c r="O68" i="75"/>
  <c r="E95" i="5"/>
  <c r="O57" i="75"/>
  <c r="E58" i="5"/>
  <c r="O23" i="75"/>
  <c r="E21" i="5" s="1"/>
  <c r="W41" i="75"/>
  <c r="AA41" i="75" s="1"/>
  <c r="O17" i="75"/>
  <c r="E13" i="5" s="1"/>
  <c r="Z91" i="75"/>
  <c r="O148" i="75"/>
  <c r="E49" i="5"/>
  <c r="O146" i="75"/>
  <c r="E48" i="5"/>
  <c r="O127" i="75"/>
  <c r="E120" i="5"/>
  <c r="O119" i="75"/>
  <c r="E47" i="5"/>
  <c r="O118" i="75"/>
  <c r="E139" i="5"/>
  <c r="O104" i="75"/>
  <c r="E145" i="5"/>
  <c r="O77" i="75"/>
  <c r="E84" i="5"/>
  <c r="O76" i="75"/>
  <c r="E42" i="5"/>
  <c r="O65" i="75"/>
  <c r="O58" i="75"/>
  <c r="O48" i="75"/>
  <c r="E121" i="5"/>
  <c r="O46" i="75"/>
  <c r="E106" i="5"/>
  <c r="O44" i="75"/>
  <c r="E81" i="5"/>
  <c r="O24" i="75"/>
  <c r="W110" i="75"/>
  <c r="AA110" i="75" s="1"/>
  <c r="W106" i="75"/>
  <c r="AA106" i="75" s="1"/>
  <c r="W96" i="75"/>
  <c r="AA96" i="75" s="1"/>
  <c r="W76" i="75"/>
  <c r="W55" i="75"/>
  <c r="W44" i="75"/>
  <c r="W32" i="75"/>
  <c r="W10" i="75"/>
  <c r="Z3" i="75"/>
  <c r="O103" i="75"/>
  <c r="E148" i="5" s="1"/>
  <c r="O80" i="75"/>
  <c r="E77" i="5" s="1"/>
  <c r="O60" i="75"/>
  <c r="O59" i="75"/>
  <c r="W26" i="75"/>
  <c r="AA26" i="75" s="1"/>
  <c r="O90" i="75"/>
  <c r="E20" i="5" s="1"/>
  <c r="Z20" i="75"/>
  <c r="Y123" i="75"/>
  <c r="Y140" i="75"/>
  <c r="O114" i="75"/>
  <c r="E140" i="5"/>
  <c r="W130" i="75"/>
  <c r="AA130" i="75"/>
  <c r="W115" i="75"/>
  <c r="W82" i="75"/>
  <c r="AA82" i="75" s="1"/>
  <c r="W78" i="75"/>
  <c r="AA78" i="75" s="1"/>
  <c r="W61" i="75"/>
  <c r="AA61" i="75" s="1"/>
  <c r="W50" i="75"/>
  <c r="W47" i="75"/>
  <c r="AA47" i="75"/>
  <c r="W34" i="75"/>
  <c r="E141" i="5"/>
  <c r="O81" i="75"/>
  <c r="E70" i="5"/>
  <c r="E109" i="5"/>
  <c r="E28" i="5"/>
  <c r="O87" i="75"/>
  <c r="E54" i="5"/>
  <c r="E55" i="5"/>
  <c r="E112" i="5"/>
  <c r="O38" i="75"/>
  <c r="E123" i="5" s="1"/>
  <c r="O37" i="75"/>
  <c r="E43" i="5" s="1"/>
  <c r="O82" i="75"/>
  <c r="E80" i="5" s="1"/>
  <c r="O25" i="75"/>
  <c r="E7" i="5" s="1"/>
  <c r="E34" i="5"/>
  <c r="O123" i="75"/>
  <c r="E138" i="5"/>
  <c r="O122" i="75"/>
  <c r="E102" i="5"/>
  <c r="E36" i="5"/>
  <c r="O54" i="75"/>
  <c r="E46" i="5" s="1"/>
  <c r="O19" i="75"/>
  <c r="O71" i="75"/>
  <c r="O67" i="75"/>
  <c r="O113" i="75"/>
  <c r="O22" i="75"/>
  <c r="E52" i="5" s="1"/>
  <c r="O11" i="75"/>
  <c r="E24" i="5" s="1"/>
  <c r="E104" i="5"/>
  <c r="E50" i="5"/>
  <c r="O110" i="75"/>
  <c r="O49" i="75"/>
  <c r="E96" i="5"/>
  <c r="O126" i="75"/>
  <c r="E41" i="5"/>
  <c r="O141" i="75"/>
  <c r="E62" i="5"/>
  <c r="O120" i="75"/>
  <c r="O96" i="75"/>
  <c r="E146" i="5" s="1"/>
  <c r="O72" i="75"/>
  <c r="E78" i="5" s="1"/>
  <c r="O34" i="75"/>
  <c r="O32" i="75"/>
  <c r="O30" i="75"/>
  <c r="E19" i="5" s="1"/>
  <c r="O27" i="75"/>
  <c r="O139" i="75"/>
  <c r="E45" i="5" s="1"/>
  <c r="O100" i="75"/>
  <c r="O74" i="75"/>
  <c r="O70" i="75"/>
  <c r="E44" i="5"/>
  <c r="O41" i="75"/>
  <c r="E60" i="5" s="1"/>
  <c r="O40" i="75"/>
  <c r="E122" i="5" s="1"/>
  <c r="O35" i="75"/>
  <c r="E39" i="5"/>
  <c r="O33" i="75"/>
  <c r="E98" i="5" s="1"/>
  <c r="O106" i="75"/>
  <c r="O61" i="75"/>
  <c r="O47" i="75"/>
  <c r="O7" i="75"/>
  <c r="O15" i="75"/>
  <c r="V124" i="4"/>
  <c r="Y143" i="5" s="1"/>
  <c r="W19" i="5"/>
  <c r="W12" i="5"/>
  <c r="V91" i="4"/>
  <c r="Y12" i="5"/>
  <c r="V11" i="4"/>
  <c r="Y24" i="5" s="1"/>
  <c r="V24" i="5"/>
  <c r="P134" i="3"/>
  <c r="W85" i="5"/>
  <c r="AA140" i="3"/>
  <c r="O69" i="5"/>
  <c r="V18" i="4"/>
  <c r="Y18" i="5" s="1"/>
  <c r="W36" i="5"/>
  <c r="W40" i="5"/>
  <c r="J91" i="5"/>
  <c r="Z45" i="75"/>
  <c r="P122" i="3"/>
  <c r="AH128" i="3"/>
  <c r="W45" i="5"/>
  <c r="J9" i="4"/>
  <c r="U27" i="5" s="1"/>
  <c r="T27" i="5"/>
  <c r="I66" i="5"/>
  <c r="J52" i="4"/>
  <c r="U89" i="5" s="1"/>
  <c r="P136" i="3"/>
  <c r="T87" i="5"/>
  <c r="J97" i="4"/>
  <c r="U71" i="5" s="1"/>
  <c r="J131" i="4"/>
  <c r="U111" i="5"/>
  <c r="V118" i="4"/>
  <c r="Y139" i="5" s="1"/>
  <c r="AD139" i="5" s="1"/>
  <c r="J91" i="4"/>
  <c r="U12" i="5"/>
  <c r="Z35" i="3"/>
  <c r="AH35" i="3" s="1"/>
  <c r="S13" i="4"/>
  <c r="S140" i="4"/>
  <c r="U134" i="3"/>
  <c r="AA134" i="3" s="1"/>
  <c r="O59" i="5" s="1"/>
  <c r="Q59" i="5" s="1"/>
  <c r="R59" i="5" s="1"/>
  <c r="J94" i="4"/>
  <c r="U74" i="5" s="1"/>
  <c r="R108" i="3"/>
  <c r="U108" i="3" s="1"/>
  <c r="AA108" i="3" s="1"/>
  <c r="O54" i="5" s="1"/>
  <c r="Q54" i="5" s="1"/>
  <c r="S108" i="3"/>
  <c r="T108" i="3"/>
  <c r="R119" i="3"/>
  <c r="S119" i="3"/>
  <c r="T119" i="3"/>
  <c r="R147" i="3"/>
  <c r="S147" i="3"/>
  <c r="T147" i="3" s="1"/>
  <c r="U147" i="3" s="1"/>
  <c r="AA147" i="3" s="1"/>
  <c r="O40" i="5" s="1"/>
  <c r="Q40" i="5" s="1"/>
  <c r="U132" i="3"/>
  <c r="AA132" i="3"/>
  <c r="O61" i="5" s="1"/>
  <c r="R127" i="3"/>
  <c r="S127" i="3"/>
  <c r="T127" i="3" s="1"/>
  <c r="U124" i="3"/>
  <c r="U121" i="3"/>
  <c r="U74" i="3"/>
  <c r="AA74" i="3" s="1"/>
  <c r="O90" i="5" s="1"/>
  <c r="Q90" i="5" s="1"/>
  <c r="R90" i="5" s="1"/>
  <c r="R107" i="3"/>
  <c r="S107" i="3"/>
  <c r="T107" i="3"/>
  <c r="N90" i="5"/>
  <c r="U94" i="3"/>
  <c r="R52" i="3"/>
  <c r="S52" i="3"/>
  <c r="T52" i="3" s="1"/>
  <c r="R133" i="3"/>
  <c r="U133" i="3" s="1"/>
  <c r="R109" i="3"/>
  <c r="U109" i="3"/>
  <c r="AA109" i="3" s="1"/>
  <c r="O83" i="5" s="1"/>
  <c r="Q83" i="5" s="1"/>
  <c r="R83" i="5" s="1"/>
  <c r="U105" i="3"/>
  <c r="AA105" i="3" s="1"/>
  <c r="O127" i="5" s="1"/>
  <c r="Q127" i="5" s="1"/>
  <c r="R127" i="5" s="1"/>
  <c r="R77" i="3"/>
  <c r="S77" i="3"/>
  <c r="T77" i="3"/>
  <c r="S120" i="3"/>
  <c r="T120" i="3" s="1"/>
  <c r="U120" i="3" s="1"/>
  <c r="R120" i="3"/>
  <c r="R101" i="3"/>
  <c r="S101" i="3"/>
  <c r="T101" i="3"/>
  <c r="R145" i="3"/>
  <c r="U145" i="3" s="1"/>
  <c r="AA145" i="3" s="1"/>
  <c r="O50" i="5" s="1"/>
  <c r="U126" i="3"/>
  <c r="S123" i="3"/>
  <c r="T123" i="3" s="1"/>
  <c r="U123" i="3" s="1"/>
  <c r="AA123" i="3" s="1"/>
  <c r="O138" i="5" s="1"/>
  <c r="Q138" i="5" s="1"/>
  <c r="R95" i="3"/>
  <c r="S95" i="3"/>
  <c r="T95" i="3"/>
  <c r="U89" i="3"/>
  <c r="AA89" i="3" s="1"/>
  <c r="O10" i="5" s="1"/>
  <c r="Q10" i="5" s="1"/>
  <c r="S46" i="3"/>
  <c r="T46" i="3" s="1"/>
  <c r="U46" i="3" s="1"/>
  <c r="AA46" i="3" s="1"/>
  <c r="O106" i="5" s="1"/>
  <c r="Q106" i="5" s="1"/>
  <c r="R106" i="5" s="1"/>
  <c r="R46" i="3"/>
  <c r="R23" i="3"/>
  <c r="U23" i="3" s="1"/>
  <c r="AA23" i="3" s="1"/>
  <c r="O21" i="5" s="1"/>
  <c r="Q21" i="5" s="1"/>
  <c r="R17" i="3"/>
  <c r="S17" i="3"/>
  <c r="T17" i="3" s="1"/>
  <c r="U17" i="3" s="1"/>
  <c r="AA17" i="3" s="1"/>
  <c r="O13" i="5" s="1"/>
  <c r="Q13" i="5" s="1"/>
  <c r="R13" i="5" s="1"/>
  <c r="R13" i="3"/>
  <c r="S13" i="3"/>
  <c r="T13" i="3"/>
  <c r="R67" i="3"/>
  <c r="U67" i="3" s="1"/>
  <c r="AA67" i="3" s="1"/>
  <c r="O57" i="5" s="1"/>
  <c r="Q57" i="5" s="1"/>
  <c r="R55" i="3"/>
  <c r="S55" i="3"/>
  <c r="T55" i="3" s="1"/>
  <c r="U55" i="3" s="1"/>
  <c r="AA55" i="3" s="1"/>
  <c r="O126" i="5" s="1"/>
  <c r="Q126" i="5" s="1"/>
  <c r="S26" i="3"/>
  <c r="T26" i="3" s="1"/>
  <c r="U26" i="3" s="1"/>
  <c r="AA26" i="3" s="1"/>
  <c r="O22" i="5" s="1"/>
  <c r="Q22" i="5" s="1"/>
  <c r="R65" i="3"/>
  <c r="S65" i="3"/>
  <c r="T65" i="3" s="1"/>
  <c r="S22" i="3"/>
  <c r="T22" i="3"/>
  <c r="R22" i="3"/>
  <c r="U22" i="3" s="1"/>
  <c r="AA22" i="3" s="1"/>
  <c r="O52" i="5" s="1"/>
  <c r="Q52" i="5" s="1"/>
  <c r="R52" i="5" s="1"/>
  <c r="R43" i="3"/>
  <c r="S43" i="3"/>
  <c r="T43" i="3" s="1"/>
  <c r="U43" i="3" s="1"/>
  <c r="AA43" i="3" s="1"/>
  <c r="O108" i="5" s="1"/>
  <c r="Q108" i="5" s="1"/>
  <c r="U36" i="3"/>
  <c r="O132" i="75"/>
  <c r="S83" i="3"/>
  <c r="T83" i="3"/>
  <c r="U83" i="3"/>
  <c r="AA83" i="3" s="1"/>
  <c r="O64" i="5" s="1"/>
  <c r="Q64" i="5" s="1"/>
  <c r="R56" i="3"/>
  <c r="U56" i="3"/>
  <c r="R49" i="3"/>
  <c r="S49" i="3"/>
  <c r="T49" i="3" s="1"/>
  <c r="U49" i="3" s="1"/>
  <c r="AA49" i="3" s="1"/>
  <c r="O96" i="5" s="1"/>
  <c r="Q96" i="5" s="1"/>
  <c r="R96" i="5" s="1"/>
  <c r="O130" i="75"/>
  <c r="R66" i="3"/>
  <c r="S66" i="3"/>
  <c r="T66" i="3"/>
  <c r="S58" i="3"/>
  <c r="T58" i="3"/>
  <c r="R58" i="3"/>
  <c r="U58" i="3" s="1"/>
  <c r="R35" i="3"/>
  <c r="S35" i="3"/>
  <c r="T35" i="3"/>
  <c r="S29" i="3"/>
  <c r="T29" i="3" s="1"/>
  <c r="U29" i="3" s="1"/>
  <c r="AA29" i="3" s="1"/>
  <c r="O4" i="5" s="1"/>
  <c r="Q4" i="5" s="1"/>
  <c r="R4" i="5" s="1"/>
  <c r="U21" i="3"/>
  <c r="AA21" i="3" s="1"/>
  <c r="O9" i="5" s="1"/>
  <c r="Q9" i="5" s="1"/>
  <c r="R9" i="5" s="1"/>
  <c r="U18" i="3"/>
  <c r="AA18" i="3" s="1"/>
  <c r="O18" i="5" s="1"/>
  <c r="Q18" i="5" s="1"/>
  <c r="R18" i="5" s="1"/>
  <c r="S6" i="3"/>
  <c r="T6" i="3" s="1"/>
  <c r="U6" i="3" s="1"/>
  <c r="AA6" i="3" s="1"/>
  <c r="O30" i="5" s="1"/>
  <c r="Q30" i="5" s="1"/>
  <c r="O144" i="75"/>
  <c r="O105" i="75"/>
  <c r="O94" i="75"/>
  <c r="O95" i="75"/>
  <c r="O64" i="75"/>
  <c r="R28" i="3"/>
  <c r="U28" i="3"/>
  <c r="O125" i="75"/>
  <c r="O102" i="75"/>
  <c r="O101" i="75"/>
  <c r="O86" i="75"/>
  <c r="O78" i="75"/>
  <c r="S39" i="3"/>
  <c r="T39" i="3" s="1"/>
  <c r="U39" i="3" s="1"/>
  <c r="AA39" i="3" s="1"/>
  <c r="O94" i="5" s="1"/>
  <c r="Q94" i="5" s="1"/>
  <c r="S31" i="3"/>
  <c r="T31" i="3" s="1"/>
  <c r="U31" i="3" s="1"/>
  <c r="AA31" i="3" s="1"/>
  <c r="O35" i="5" s="1"/>
  <c r="Q35" i="5" s="1"/>
  <c r="S25" i="3"/>
  <c r="T25" i="3"/>
  <c r="U25" i="3" s="1"/>
  <c r="AA25" i="3" s="1"/>
  <c r="O7" i="5" s="1"/>
  <c r="Q7" i="5" s="1"/>
  <c r="R7" i="5" s="1"/>
  <c r="S9" i="3"/>
  <c r="T9" i="3" s="1"/>
  <c r="U9" i="3" s="1"/>
  <c r="AA9" i="3" s="1"/>
  <c r="O27" i="5" s="1"/>
  <c r="Q27" i="5" s="1"/>
  <c r="R27" i="5" s="1"/>
  <c r="S5" i="3"/>
  <c r="T5" i="3" s="1"/>
  <c r="U5" i="3" s="1"/>
  <c r="O147" i="75"/>
  <c r="O121" i="75"/>
  <c r="O109" i="75"/>
  <c r="S94" i="4"/>
  <c r="O115" i="75"/>
  <c r="O98" i="75"/>
  <c r="O84" i="75"/>
  <c r="O50" i="75"/>
  <c r="O131" i="3"/>
  <c r="S28" i="4"/>
  <c r="S37" i="4"/>
  <c r="S80" i="4"/>
  <c r="O106" i="3"/>
  <c r="O112" i="3"/>
  <c r="O7" i="3"/>
  <c r="O115" i="3"/>
  <c r="O55" i="3"/>
  <c r="O10" i="3"/>
  <c r="O91" i="3"/>
  <c r="O13" i="3"/>
  <c r="M16" i="5"/>
  <c r="O6" i="3"/>
  <c r="W117" i="75"/>
  <c r="AA117" i="75"/>
  <c r="AG95" i="3"/>
  <c r="P129" i="5" s="1"/>
  <c r="O102" i="3"/>
  <c r="O44" i="3"/>
  <c r="AG140" i="3"/>
  <c r="P69" i="5" s="1"/>
  <c r="Q69" i="5" s="1"/>
  <c r="R69" i="5" s="1"/>
  <c r="AG135" i="3"/>
  <c r="P149" i="5"/>
  <c r="AG125" i="3"/>
  <c r="AH125" i="3" s="1"/>
  <c r="AG110" i="3"/>
  <c r="P79" i="5"/>
  <c r="O47" i="3"/>
  <c r="O34" i="3"/>
  <c r="O5" i="3"/>
  <c r="AG12" i="3"/>
  <c r="P25" i="5"/>
  <c r="W16" i="75"/>
  <c r="AA16" i="75"/>
  <c r="W13" i="75"/>
  <c r="AA13" i="75" s="1"/>
  <c r="J16" i="5" s="1"/>
  <c r="AG113" i="3"/>
  <c r="AG106" i="3"/>
  <c r="P75" i="5"/>
  <c r="Q75" i="5" s="1"/>
  <c r="AG19" i="3"/>
  <c r="P29" i="5" s="1"/>
  <c r="O77" i="3"/>
  <c r="AG34" i="3"/>
  <c r="AG15" i="3"/>
  <c r="W109" i="75"/>
  <c r="AA109" i="75"/>
  <c r="W104" i="75"/>
  <c r="AA104" i="75" s="1"/>
  <c r="W93" i="75"/>
  <c r="AA93" i="75"/>
  <c r="W54" i="75"/>
  <c r="AA54" i="75" s="1"/>
  <c r="J46" i="5" s="1"/>
  <c r="W46" i="75"/>
  <c r="AA46" i="75"/>
  <c r="W19" i="75"/>
  <c r="AA19" i="75" s="1"/>
  <c r="J29" i="5" s="1"/>
  <c r="AG27" i="3"/>
  <c r="P5" i="5"/>
  <c r="Q5" i="5"/>
  <c r="AG88" i="3"/>
  <c r="P119" i="5" s="1"/>
  <c r="AG70" i="3"/>
  <c r="P44" i="5"/>
  <c r="W84" i="75"/>
  <c r="AA84" i="75" s="1"/>
  <c r="W62" i="75"/>
  <c r="AA62" i="75"/>
  <c r="W59" i="75"/>
  <c r="AA59" i="75" s="1"/>
  <c r="W51" i="75"/>
  <c r="AA51" i="75"/>
  <c r="W123" i="75"/>
  <c r="AA123" i="75" s="1"/>
  <c r="J138" i="5" s="1"/>
  <c r="AE126" i="4"/>
  <c r="W113" i="75"/>
  <c r="AA113" i="75" s="1"/>
  <c r="W64" i="75"/>
  <c r="AA64" i="75"/>
  <c r="W53" i="75"/>
  <c r="AA53" i="75" s="1"/>
  <c r="W42" i="75"/>
  <c r="AA42" i="75"/>
  <c r="W38" i="75"/>
  <c r="AA38" i="75" s="1"/>
  <c r="W11" i="75"/>
  <c r="AA11" i="75"/>
  <c r="Q111" i="5"/>
  <c r="R63" i="5"/>
  <c r="R141" i="5"/>
  <c r="R134" i="5"/>
  <c r="AJ29" i="4"/>
  <c r="AC4" i="5" s="1"/>
  <c r="AD4" i="5" s="1"/>
  <c r="AJ64" i="4"/>
  <c r="AC114" i="5"/>
  <c r="AJ50" i="4"/>
  <c r="AC66" i="5"/>
  <c r="AD66" i="5" s="1"/>
  <c r="T9" i="5"/>
  <c r="J21" i="4"/>
  <c r="U9" i="5"/>
  <c r="V123" i="4"/>
  <c r="Y138" i="5" s="1"/>
  <c r="V125" i="4"/>
  <c r="Y105" i="5"/>
  <c r="W70" i="5"/>
  <c r="AJ109" i="4"/>
  <c r="AC83" i="5"/>
  <c r="V15" i="4"/>
  <c r="Y26" i="5" s="1"/>
  <c r="V95" i="4"/>
  <c r="Y129" i="5"/>
  <c r="V115" i="4"/>
  <c r="Y135" i="5" s="1"/>
  <c r="AD135" i="5" s="1"/>
  <c r="W149" i="5"/>
  <c r="T92" i="5"/>
  <c r="J79" i="4"/>
  <c r="U92" i="5" s="1"/>
  <c r="V102" i="4"/>
  <c r="Y147" i="5"/>
  <c r="V139" i="4"/>
  <c r="Y45" i="5" s="1"/>
  <c r="V69" i="4"/>
  <c r="Y128" i="5"/>
  <c r="J98" i="4"/>
  <c r="U134" i="5" s="1"/>
  <c r="V14" i="4"/>
  <c r="Y15" i="5"/>
  <c r="V17" i="4"/>
  <c r="Y13" i="5" s="1"/>
  <c r="V36" i="4"/>
  <c r="Y93" i="5" s="1"/>
  <c r="AJ117" i="4"/>
  <c r="AC133" i="5" s="1"/>
  <c r="AD133" i="5" s="1"/>
  <c r="V48" i="4"/>
  <c r="Y121" i="5" s="1"/>
  <c r="J76" i="4"/>
  <c r="U42" i="5"/>
  <c r="V141" i="4"/>
  <c r="Y62" i="5" s="1"/>
  <c r="V142" i="4"/>
  <c r="Y68" i="5"/>
  <c r="V116" i="4"/>
  <c r="Y125" i="5" s="1"/>
  <c r="J36" i="4"/>
  <c r="U93" i="5"/>
  <c r="J75" i="4"/>
  <c r="U38" i="5" s="1"/>
  <c r="V20" i="4"/>
  <c r="Y8" i="5"/>
  <c r="AJ45" i="4"/>
  <c r="AC91" i="5" s="1"/>
  <c r="J96" i="4"/>
  <c r="U146" i="5" s="1"/>
  <c r="AJ122" i="4"/>
  <c r="AC63" i="5"/>
  <c r="AD63" i="5" s="1"/>
  <c r="Z67" i="5"/>
  <c r="AJ66" i="4"/>
  <c r="AC67" i="5" s="1"/>
  <c r="AD67" i="5" s="1"/>
  <c r="AJ40" i="4"/>
  <c r="AC122" i="5"/>
  <c r="AD122" i="5"/>
  <c r="AJ41" i="4"/>
  <c r="AC60" i="5" s="1"/>
  <c r="W26" i="5"/>
  <c r="V66" i="4"/>
  <c r="Y67" i="5" s="1"/>
  <c r="V73" i="4"/>
  <c r="Y87" i="5"/>
  <c r="V134" i="4"/>
  <c r="Y59" i="5" s="1"/>
  <c r="AD59" i="5" s="1"/>
  <c r="V71" i="4"/>
  <c r="Y56" i="5"/>
  <c r="V99" i="4"/>
  <c r="Y88" i="5"/>
  <c r="AH129" i="3"/>
  <c r="Q148" i="5"/>
  <c r="Q66" i="5"/>
  <c r="R66" i="5"/>
  <c r="AH32" i="3"/>
  <c r="AH77" i="3"/>
  <c r="AH45" i="3"/>
  <c r="AH134" i="3"/>
  <c r="AH28" i="3"/>
  <c r="AH57" i="3"/>
  <c r="Q58" i="5"/>
  <c r="R58" i="5"/>
  <c r="AH103" i="3"/>
  <c r="AH82" i="3"/>
  <c r="AH91" i="3"/>
  <c r="AH65" i="3"/>
  <c r="AA84" i="3"/>
  <c r="O117" i="5" s="1"/>
  <c r="Q117" i="5" s="1"/>
  <c r="AA14" i="3"/>
  <c r="O15" i="5" s="1"/>
  <c r="Q15" i="5" s="1"/>
  <c r="R15" i="5" s="1"/>
  <c r="AA144" i="3"/>
  <c r="O86" i="5" s="1"/>
  <c r="Q86" i="5" s="1"/>
  <c r="R86" i="5" s="1"/>
  <c r="Q12" i="5"/>
  <c r="AH140" i="3"/>
  <c r="AH9" i="3"/>
  <c r="R133" i="5"/>
  <c r="AH3" i="3"/>
  <c r="AH92" i="3"/>
  <c r="Z78" i="3"/>
  <c r="AH78" i="3" s="1"/>
  <c r="AH68" i="3"/>
  <c r="AH48" i="3"/>
  <c r="AA48" i="3"/>
  <c r="O121" i="5" s="1"/>
  <c r="Q121" i="5" s="1"/>
  <c r="AA94" i="3"/>
  <c r="O74" i="5" s="1"/>
  <c r="Q74" i="5" s="1"/>
  <c r="R74" i="5" s="1"/>
  <c r="Z49" i="3"/>
  <c r="AH49" i="3" s="1"/>
  <c r="Z56" i="3"/>
  <c r="AH56" i="3" s="1"/>
  <c r="Z16" i="3"/>
  <c r="Z97" i="3"/>
  <c r="AH97" i="3"/>
  <c r="AA45" i="3"/>
  <c r="O91" i="5" s="1"/>
  <c r="Q91" i="5" s="1"/>
  <c r="R91" i="5" s="1"/>
  <c r="Z114" i="3"/>
  <c r="AH11" i="3"/>
  <c r="AA126" i="3"/>
  <c r="O41" i="5" s="1"/>
  <c r="Z5" i="3"/>
  <c r="AH5" i="3" s="1"/>
  <c r="L118" i="5"/>
  <c r="N118" i="5" s="1"/>
  <c r="Z115" i="75"/>
  <c r="AA115" i="75"/>
  <c r="Z76" i="75"/>
  <c r="AA76" i="75"/>
  <c r="Z23" i="75"/>
  <c r="AA23" i="75"/>
  <c r="J21" i="5" s="1"/>
  <c r="AA60" i="75"/>
  <c r="J124" i="5" s="1"/>
  <c r="AA5" i="75"/>
  <c r="J32" i="5"/>
  <c r="H54" i="5"/>
  <c r="AA108" i="75"/>
  <c r="AA63" i="75"/>
  <c r="J116" i="5" s="1"/>
  <c r="Z69" i="75"/>
  <c r="AA69" i="75"/>
  <c r="Z102" i="75"/>
  <c r="AA102" i="75"/>
  <c r="H66" i="5"/>
  <c r="AA50" i="75"/>
  <c r="Z10" i="75"/>
  <c r="AA10" i="75"/>
  <c r="J28" i="5" s="1"/>
  <c r="Z143" i="75"/>
  <c r="AA143" i="75"/>
  <c r="AA85" i="75"/>
  <c r="J115" i="5" s="1"/>
  <c r="Z118" i="75"/>
  <c r="AA118" i="75"/>
  <c r="H14" i="5"/>
  <c r="AA7" i="75"/>
  <c r="AA135" i="75"/>
  <c r="J149" i="5"/>
  <c r="AA43" i="75"/>
  <c r="J108" i="5" s="1"/>
  <c r="AA148" i="75"/>
  <c r="J49" i="5" s="1"/>
  <c r="Z73" i="75"/>
  <c r="AA73" i="75"/>
  <c r="Z114" i="75"/>
  <c r="AA114" i="75"/>
  <c r="J140" i="5" s="1"/>
  <c r="Z32" i="75"/>
  <c r="AA32" i="75"/>
  <c r="Z43" i="75"/>
  <c r="Z85" i="75"/>
  <c r="H10" i="5"/>
  <c r="AA89" i="75"/>
  <c r="J10" i="5"/>
  <c r="Z122" i="75"/>
  <c r="AA122" i="75"/>
  <c r="J63" i="5"/>
  <c r="H26" i="5"/>
  <c r="AA15" i="75"/>
  <c r="Z34" i="75"/>
  <c r="AA34" i="75"/>
  <c r="H47" i="5"/>
  <c r="AA119" i="75"/>
  <c r="H49" i="5"/>
  <c r="H81" i="5"/>
  <c r="AA44" i="75"/>
  <c r="Z31" i="75"/>
  <c r="Z133" i="75"/>
  <c r="AA133" i="75"/>
  <c r="J55" i="5" s="1"/>
  <c r="H149" i="5"/>
  <c r="Z98" i="75"/>
  <c r="AA98" i="75"/>
  <c r="H20" i="5"/>
  <c r="AA90" i="75"/>
  <c r="Z18" i="75"/>
  <c r="AA18" i="75"/>
  <c r="AA116" i="75"/>
  <c r="J125" i="5"/>
  <c r="AA83" i="75"/>
  <c r="J64" i="5" s="1"/>
  <c r="AA65" i="75"/>
  <c r="Z55" i="75"/>
  <c r="AA55" i="75"/>
  <c r="Z137" i="75"/>
  <c r="AA137" i="75"/>
  <c r="J144" i="5" s="1"/>
  <c r="H74" i="5"/>
  <c r="AA94" i="75"/>
  <c r="Z148" i="75"/>
  <c r="Z89" i="75"/>
  <c r="H64" i="5"/>
  <c r="Z86" i="75"/>
  <c r="Z112" i="75"/>
  <c r="AH30" i="3"/>
  <c r="T54" i="5"/>
  <c r="J108" i="4"/>
  <c r="U54" i="5"/>
  <c r="AH130" i="3"/>
  <c r="Z41" i="3"/>
  <c r="AA41" i="3"/>
  <c r="O60" i="5" s="1"/>
  <c r="Q60" i="5" s="1"/>
  <c r="AH71" i="3"/>
  <c r="AA71" i="3"/>
  <c r="O56" i="5" s="1"/>
  <c r="Q56" i="5" s="1"/>
  <c r="Z110" i="3"/>
  <c r="Z107" i="3"/>
  <c r="AH107" i="3" s="1"/>
  <c r="V97" i="4"/>
  <c r="Y71" i="5"/>
  <c r="W98" i="5"/>
  <c r="AH20" i="3"/>
  <c r="AA20" i="3"/>
  <c r="O8" i="5"/>
  <c r="Q8" i="5" s="1"/>
  <c r="V23" i="5"/>
  <c r="V24" i="4"/>
  <c r="Y23" i="5" s="1"/>
  <c r="AH143" i="3"/>
  <c r="J20" i="4"/>
  <c r="U8" i="5"/>
  <c r="AA146" i="3"/>
  <c r="O48" i="5" s="1"/>
  <c r="Q48" i="5" s="1"/>
  <c r="AH146" i="3"/>
  <c r="T4" i="5"/>
  <c r="J29" i="4"/>
  <c r="U4" i="5"/>
  <c r="Z99" i="3"/>
  <c r="AH99" i="3" s="1"/>
  <c r="AJ84" i="4"/>
  <c r="AC117" i="5"/>
  <c r="AD131" i="5"/>
  <c r="V105" i="4"/>
  <c r="Y127" i="5"/>
  <c r="V41" i="4"/>
  <c r="Y60" i="5" s="1"/>
  <c r="AH69" i="3"/>
  <c r="AA124" i="3"/>
  <c r="O143" i="5" s="1"/>
  <c r="Q143" i="5" s="1"/>
  <c r="J59" i="5"/>
  <c r="V25" i="4"/>
  <c r="Y7" i="5" s="1"/>
  <c r="Z112" i="3"/>
  <c r="V57" i="4"/>
  <c r="Y58" i="5"/>
  <c r="AJ36" i="4"/>
  <c r="AC93" i="5"/>
  <c r="W10" i="5"/>
  <c r="AB31" i="5"/>
  <c r="Z15" i="3"/>
  <c r="V70" i="4"/>
  <c r="Y44" i="5" s="1"/>
  <c r="Z22" i="3"/>
  <c r="AH22" i="3"/>
  <c r="AA73" i="3"/>
  <c r="O87" i="5" s="1"/>
  <c r="Q87" i="5" s="1"/>
  <c r="R87" i="5" s="1"/>
  <c r="AH73" i="3"/>
  <c r="Z58" i="3"/>
  <c r="AH58" i="3"/>
  <c r="AJ55" i="4"/>
  <c r="AC126" i="5" s="1"/>
  <c r="AJ129" i="4"/>
  <c r="AC132" i="5"/>
  <c r="V72" i="4"/>
  <c r="Y78" i="5" s="1"/>
  <c r="AD78" i="5" s="1"/>
  <c r="I38" i="5"/>
  <c r="J38" i="5"/>
  <c r="AA76" i="3"/>
  <c r="O42" i="5" s="1"/>
  <c r="Q42" i="5" s="1"/>
  <c r="AH76" i="3"/>
  <c r="T102" i="5"/>
  <c r="J62" i="4"/>
  <c r="U102" i="5"/>
  <c r="J118" i="5"/>
  <c r="AA28" i="3"/>
  <c r="O6" i="5"/>
  <c r="Q6" i="5"/>
  <c r="V130" i="4"/>
  <c r="Y110" i="5"/>
  <c r="AH87" i="3"/>
  <c r="J51" i="5"/>
  <c r="Z102" i="3"/>
  <c r="Z44" i="3"/>
  <c r="AA44" i="3" s="1"/>
  <c r="O81" i="5" s="1"/>
  <c r="Q81" i="5" s="1"/>
  <c r="J107" i="4"/>
  <c r="U51" i="5" s="1"/>
  <c r="AD51" i="5" s="1"/>
  <c r="T35" i="5"/>
  <c r="J31" i="4"/>
  <c r="U35" i="5" s="1"/>
  <c r="V137" i="4"/>
  <c r="Y144" i="5" s="1"/>
  <c r="AJ128" i="4"/>
  <c r="AC118" i="5"/>
  <c r="V92" i="4"/>
  <c r="Y11" i="5"/>
  <c r="I76" i="5"/>
  <c r="J76" i="5"/>
  <c r="T124" i="5"/>
  <c r="J60" i="4"/>
  <c r="U124" i="5" s="1"/>
  <c r="T6" i="5"/>
  <c r="J28" i="4"/>
  <c r="U6" i="5"/>
  <c r="Z121" i="3"/>
  <c r="AH121" i="3" s="1"/>
  <c r="T80" i="5"/>
  <c r="J82" i="4"/>
  <c r="U80" i="5" s="1"/>
  <c r="Z127" i="3"/>
  <c r="AH127" i="3"/>
  <c r="V129" i="4"/>
  <c r="Y132" i="5" s="1"/>
  <c r="W107" i="5"/>
  <c r="V121" i="4"/>
  <c r="Y107" i="5"/>
  <c r="AJ68" i="4"/>
  <c r="AC95" i="5" s="1"/>
  <c r="AD95" i="5" s="1"/>
  <c r="Z93" i="3"/>
  <c r="AH93" i="3" s="1"/>
  <c r="AJ53" i="4"/>
  <c r="AC109" i="5"/>
  <c r="J84" i="4"/>
  <c r="U117" i="5" s="1"/>
  <c r="T117" i="5"/>
  <c r="AH24" i="3"/>
  <c r="AA24" i="3"/>
  <c r="O23" i="5" s="1"/>
  <c r="Q23" i="5" s="1"/>
  <c r="R23" i="5" s="1"/>
  <c r="Z34" i="3"/>
  <c r="J114" i="4"/>
  <c r="U140" i="5" s="1"/>
  <c r="T115" i="5"/>
  <c r="J85" i="4"/>
  <c r="U115" i="5"/>
  <c r="J13" i="4"/>
  <c r="U16" i="5" s="1"/>
  <c r="T16" i="5"/>
  <c r="J98" i="5"/>
  <c r="AH61" i="3"/>
  <c r="AA61" i="3"/>
  <c r="O103" i="5"/>
  <c r="Q103" i="5"/>
  <c r="I44" i="5"/>
  <c r="W96" i="5"/>
  <c r="V96" i="4"/>
  <c r="Y146" i="5"/>
  <c r="J22" i="4"/>
  <c r="U52" i="5" s="1"/>
  <c r="V64" i="4"/>
  <c r="Y114" i="5"/>
  <c r="AD114" i="5" s="1"/>
  <c r="V9" i="4"/>
  <c r="Y27" i="5"/>
  <c r="AJ83" i="4"/>
  <c r="AC64" i="5" s="1"/>
  <c r="AJ133" i="4"/>
  <c r="AC55" i="5"/>
  <c r="T15" i="5"/>
  <c r="J14" i="4"/>
  <c r="U15" i="5" s="1"/>
  <c r="AD15" i="5" s="1"/>
  <c r="J71" i="5"/>
  <c r="J96" i="5"/>
  <c r="V63" i="4"/>
  <c r="Y116" i="5" s="1"/>
  <c r="AJ121" i="4"/>
  <c r="AC107" i="5"/>
  <c r="Z120" i="3"/>
  <c r="AH120" i="3" s="1"/>
  <c r="AJ87" i="4"/>
  <c r="AC72" i="5"/>
  <c r="AD72" i="5" s="1"/>
  <c r="AH131" i="3"/>
  <c r="AA104" i="3"/>
  <c r="O145" i="5"/>
  <c r="Q145" i="5"/>
  <c r="AH104" i="3"/>
  <c r="Z118" i="3"/>
  <c r="J140" i="4"/>
  <c r="U69" i="5" s="1"/>
  <c r="Z133" i="3"/>
  <c r="AH133" i="3"/>
  <c r="Z13" i="3"/>
  <c r="AH13" i="3" s="1"/>
  <c r="AB112" i="5"/>
  <c r="V145" i="4"/>
  <c r="Y50" i="5"/>
  <c r="V3" i="4"/>
  <c r="Y31" i="5" s="1"/>
  <c r="AH136" i="3"/>
  <c r="Z10" i="3"/>
  <c r="AH10" i="3"/>
  <c r="Z139" i="5"/>
  <c r="AJ118" i="4"/>
  <c r="AC139" i="5" s="1"/>
  <c r="AB52" i="5"/>
  <c r="AH96" i="3"/>
  <c r="AB79" i="5"/>
  <c r="AJ110" i="4"/>
  <c r="AC79" i="5" s="1"/>
  <c r="AD79" i="5" s="1"/>
  <c r="AB53" i="5"/>
  <c r="AJ143" i="4"/>
  <c r="AC53" i="5" s="1"/>
  <c r="Z124" i="5"/>
  <c r="AJ60" i="4"/>
  <c r="AC124" i="5"/>
  <c r="Z94" i="5"/>
  <c r="AJ39" i="4"/>
  <c r="AC94" i="5" s="1"/>
  <c r="AD94" i="5" s="1"/>
  <c r="Z81" i="3"/>
  <c r="AH63" i="3"/>
  <c r="AA63" i="3"/>
  <c r="O116" i="5"/>
  <c r="Q116" i="5"/>
  <c r="AJ114" i="4"/>
  <c r="AC140" i="5"/>
  <c r="AB129" i="5"/>
  <c r="AJ95" i="4"/>
  <c r="AC129" i="5" s="1"/>
  <c r="AD129" i="5" s="1"/>
  <c r="T59" i="5"/>
  <c r="J134" i="4"/>
  <c r="U59" i="5" s="1"/>
  <c r="AB32" i="5"/>
  <c r="AJ5" i="4"/>
  <c r="AC32" i="5"/>
  <c r="AD32" i="5"/>
  <c r="Z6" i="5"/>
  <c r="AJ28" i="4"/>
  <c r="AC6" i="5"/>
  <c r="AB110" i="5"/>
  <c r="AJ130" i="4"/>
  <c r="AC110" i="5" s="1"/>
  <c r="AA77" i="5"/>
  <c r="AH79" i="3"/>
  <c r="AB148" i="5"/>
  <c r="T88" i="5"/>
  <c r="J99" i="4"/>
  <c r="U88" i="5" s="1"/>
  <c r="AB16" i="5"/>
  <c r="AJ13" i="4"/>
  <c r="AC16" i="5"/>
  <c r="AJ124" i="4"/>
  <c r="AC143" i="5" s="1"/>
  <c r="AA85" i="5"/>
  <c r="AB13" i="5"/>
  <c r="AA100" i="3"/>
  <c r="O130" i="5" s="1"/>
  <c r="Q130" i="5" s="1"/>
  <c r="AH100" i="3"/>
  <c r="Z86" i="3"/>
  <c r="AH33" i="3"/>
  <c r="AA33" i="3"/>
  <c r="O98" i="5"/>
  <c r="Q98" i="5"/>
  <c r="V143" i="4"/>
  <c r="Y53" i="5"/>
  <c r="AJ147" i="4"/>
  <c r="AC40" i="5" s="1"/>
  <c r="V79" i="4"/>
  <c r="Y92" i="5"/>
  <c r="V133" i="4"/>
  <c r="Y55" i="5" s="1"/>
  <c r="AB101" i="5"/>
  <c r="AJ138" i="4"/>
  <c r="AC101" i="5"/>
  <c r="AD101" i="5"/>
  <c r="AB65" i="5"/>
  <c r="AJ111" i="4"/>
  <c r="AC65" i="5"/>
  <c r="AD65" i="5" s="1"/>
  <c r="AA38" i="5"/>
  <c r="Z76" i="5"/>
  <c r="AJ56" i="4"/>
  <c r="AC76" i="5"/>
  <c r="AD76" i="5"/>
  <c r="AB9" i="5"/>
  <c r="AJ21" i="4"/>
  <c r="AC9" i="5"/>
  <c r="Z36" i="3"/>
  <c r="AA36" i="3" s="1"/>
  <c r="O93" i="5" s="1"/>
  <c r="Q93" i="5" s="1"/>
  <c r="AH53" i="3"/>
  <c r="AA53" i="3"/>
  <c r="O109" i="5" s="1"/>
  <c r="Q109" i="5" s="1"/>
  <c r="R109" i="5" s="1"/>
  <c r="V35" i="4"/>
  <c r="Y39" i="5" s="1"/>
  <c r="V59" i="4"/>
  <c r="Y85" i="5"/>
  <c r="P15" i="75"/>
  <c r="F26" i="5" s="1"/>
  <c r="AB68" i="5"/>
  <c r="AJ142" i="4"/>
  <c r="AC68" i="5" s="1"/>
  <c r="AJ115" i="4"/>
  <c r="AC135" i="5"/>
  <c r="Z89" i="5"/>
  <c r="AJ52" i="4"/>
  <c r="AC89" i="5"/>
  <c r="Z138" i="3"/>
  <c r="Z90" i="3"/>
  <c r="V19" i="4"/>
  <c r="Y29" i="5"/>
  <c r="AJ49" i="4"/>
  <c r="AC96" i="5" s="1"/>
  <c r="AD96" i="5" s="1"/>
  <c r="AJ76" i="4"/>
  <c r="AC42" i="5"/>
  <c r="AB147" i="5"/>
  <c r="AB48" i="5"/>
  <c r="AJ146" i="4"/>
  <c r="AC48" i="5"/>
  <c r="AJ97" i="4"/>
  <c r="AC71" i="5" s="1"/>
  <c r="AD71" i="5" s="1"/>
  <c r="AB34" i="5"/>
  <c r="AJ4" i="4"/>
  <c r="AC34" i="5"/>
  <c r="AD34" i="5"/>
  <c r="Z92" i="5"/>
  <c r="AJ79" i="4"/>
  <c r="AC92" i="5"/>
  <c r="AD92" i="5" s="1"/>
  <c r="T50" i="5"/>
  <c r="J145" i="4"/>
  <c r="U50" i="5" s="1"/>
  <c r="AJ134" i="4"/>
  <c r="AC59" i="5" s="1"/>
  <c r="V127" i="4"/>
  <c r="Y120" i="5"/>
  <c r="V147" i="4"/>
  <c r="Y40" i="5" s="1"/>
  <c r="AB75" i="5"/>
  <c r="AJ106" i="4"/>
  <c r="AC75" i="5"/>
  <c r="Z49" i="5"/>
  <c r="AJ148" i="4"/>
  <c r="AC49" i="5"/>
  <c r="AD49" i="5" s="1"/>
  <c r="AB45" i="5"/>
  <c r="AJ139" i="4"/>
  <c r="AC45" i="5"/>
  <c r="AB33" i="5"/>
  <c r="AB105" i="5"/>
  <c r="AJ125" i="4"/>
  <c r="AC105" i="5" s="1"/>
  <c r="J55" i="4"/>
  <c r="U126" i="5"/>
  <c r="T126" i="5"/>
  <c r="V146" i="4"/>
  <c r="Y48" i="5"/>
  <c r="Z56" i="5"/>
  <c r="AJ71" i="4"/>
  <c r="AC56" i="5" s="1"/>
  <c r="Z64" i="3"/>
  <c r="AJ93" i="4"/>
  <c r="AC36" i="5" s="1"/>
  <c r="AD36" i="5" s="1"/>
  <c r="Q16" i="75"/>
  <c r="G17" i="5"/>
  <c r="Q17" i="75"/>
  <c r="G13" i="5" s="1"/>
  <c r="K13" i="5" s="1"/>
  <c r="Q8" i="75"/>
  <c r="G33" i="5" s="1"/>
  <c r="K33" i="5" s="1"/>
  <c r="Q93" i="75"/>
  <c r="G36" i="5" s="1"/>
  <c r="Q92" i="75"/>
  <c r="G11" i="5" s="1"/>
  <c r="K11" i="5" s="1"/>
  <c r="Q89" i="75"/>
  <c r="G10" i="5" s="1"/>
  <c r="K15" i="5"/>
  <c r="F34" i="5"/>
  <c r="Q4" i="75"/>
  <c r="G34" i="5"/>
  <c r="Q10" i="75"/>
  <c r="G28" i="5"/>
  <c r="Q18" i="75"/>
  <c r="G18" i="5"/>
  <c r="Q91" i="75"/>
  <c r="G12" i="5" s="1"/>
  <c r="Q90" i="75"/>
  <c r="G20" i="5"/>
  <c r="E100" i="5"/>
  <c r="AB22" i="5"/>
  <c r="AB46" i="5"/>
  <c r="AB87" i="5"/>
  <c r="AJ73" i="4"/>
  <c r="AC87" i="5"/>
  <c r="AD87" i="5" s="1"/>
  <c r="AB145" i="5"/>
  <c r="AJ104" i="4"/>
  <c r="AC145" i="5"/>
  <c r="AB19" i="5"/>
  <c r="AJ113" i="4"/>
  <c r="AC142" i="5" s="1"/>
  <c r="AJ77" i="4"/>
  <c r="AC84" i="5"/>
  <c r="AD84" i="5" s="1"/>
  <c r="AB84" i="5"/>
  <c r="AB54" i="5"/>
  <c r="Z121" i="5"/>
  <c r="AJ48" i="4"/>
  <c r="AC121" i="5" s="1"/>
  <c r="AD121" i="5" s="1"/>
  <c r="W64" i="5"/>
  <c r="V83" i="4"/>
  <c r="Y64" i="5"/>
  <c r="AB70" i="5"/>
  <c r="AJ81" i="4"/>
  <c r="AC70" i="5"/>
  <c r="AD70" i="5"/>
  <c r="Z144" i="5"/>
  <c r="AJ137" i="4"/>
  <c r="AC144" i="5"/>
  <c r="AB30" i="5"/>
  <c r="AJ6" i="4"/>
  <c r="AC30" i="5" s="1"/>
  <c r="Z81" i="5"/>
  <c r="AJ44" i="4"/>
  <c r="AC81" i="5" s="1"/>
  <c r="AD81" i="5" s="1"/>
  <c r="AB58" i="5"/>
  <c r="AJ57" i="4"/>
  <c r="AC58" i="5" s="1"/>
  <c r="AB119" i="5"/>
  <c r="AJ88" i="4"/>
  <c r="AC119" i="5"/>
  <c r="AD119" i="5" s="1"/>
  <c r="AJ120" i="4"/>
  <c r="AC137" i="5"/>
  <c r="Z12" i="5"/>
  <c r="AJ91" i="4"/>
  <c r="AC12" i="5"/>
  <c r="AD12" i="5"/>
  <c r="Z78" i="5"/>
  <c r="AJ72" i="4"/>
  <c r="AC78" i="5"/>
  <c r="AB103" i="5"/>
  <c r="AJ61" i="4"/>
  <c r="AC103" i="5" s="1"/>
  <c r="AD103" i="5" s="1"/>
  <c r="AB11" i="5"/>
  <c r="AJ92" i="4"/>
  <c r="AC11" i="5" s="1"/>
  <c r="Z25" i="5"/>
  <c r="AJ12" i="4"/>
  <c r="AC25" i="5"/>
  <c r="Z51" i="5"/>
  <c r="AJ107" i="4"/>
  <c r="AC51" i="5"/>
  <c r="AB115" i="5"/>
  <c r="AJ85" i="4"/>
  <c r="AC115" i="5"/>
  <c r="AB28" i="5"/>
  <c r="AJ10" i="4"/>
  <c r="AC28" i="5" s="1"/>
  <c r="AD28" i="5" s="1"/>
  <c r="AJ14" i="4"/>
  <c r="AC15" i="5" s="1"/>
  <c r="AB15" i="5"/>
  <c r="AB100" i="5"/>
  <c r="AJ65" i="4"/>
  <c r="AC100" i="5"/>
  <c r="AD100" i="5" s="1"/>
  <c r="AB146" i="5"/>
  <c r="AJ96" i="4"/>
  <c r="AC146" i="5" s="1"/>
  <c r="AD146" i="5" s="1"/>
  <c r="Z8" i="5"/>
  <c r="AJ20" i="4"/>
  <c r="AC8" i="5"/>
  <c r="AA10" i="5"/>
  <c r="AJ89" i="4"/>
  <c r="AC10" i="5"/>
  <c r="AD10" i="5"/>
  <c r="AB37" i="5"/>
  <c r="AJ116" i="4"/>
  <c r="AC125" i="5" s="1"/>
  <c r="AB18" i="5"/>
  <c r="AJ18" i="4"/>
  <c r="AC18" i="5" s="1"/>
  <c r="AB128" i="5"/>
  <c r="AJ69" i="4"/>
  <c r="AC128" i="5" s="1"/>
  <c r="AB130" i="5"/>
  <c r="AJ100" i="4"/>
  <c r="AC130" i="5"/>
  <c r="W80" i="5"/>
  <c r="V82" i="4"/>
  <c r="Y80" i="5" s="1"/>
  <c r="H125" i="5"/>
  <c r="H115" i="5"/>
  <c r="J47" i="5"/>
  <c r="H116" i="5"/>
  <c r="Z4" i="75"/>
  <c r="Z5" i="75"/>
  <c r="Z116" i="75"/>
  <c r="Z63" i="75"/>
  <c r="H139" i="5"/>
  <c r="J139" i="5"/>
  <c r="J14" i="5"/>
  <c r="Z67" i="75"/>
  <c r="H140" i="5"/>
  <c r="Z15" i="75"/>
  <c r="Z90" i="75"/>
  <c r="H68" i="5"/>
  <c r="J68" i="5"/>
  <c r="H108" i="5"/>
  <c r="J20" i="5"/>
  <c r="Z83" i="75"/>
  <c r="J26" i="5"/>
  <c r="Z7" i="75"/>
  <c r="H43" i="5"/>
  <c r="J43" i="5"/>
  <c r="Z142" i="75"/>
  <c r="H34" i="5"/>
  <c r="J74" i="5"/>
  <c r="Z48" i="75"/>
  <c r="Z128" i="75"/>
  <c r="H118" i="5"/>
  <c r="Z105" i="75"/>
  <c r="J54" i="5"/>
  <c r="J100" i="5"/>
  <c r="H100" i="5"/>
  <c r="Z37" i="75"/>
  <c r="Z94" i="75"/>
  <c r="F32" i="5"/>
  <c r="Q5" i="75"/>
  <c r="G32" i="5"/>
  <c r="H5" i="5"/>
  <c r="J5" i="5"/>
  <c r="E23" i="5"/>
  <c r="H32" i="5"/>
  <c r="J50" i="5"/>
  <c r="H50" i="5"/>
  <c r="H48" i="5"/>
  <c r="Z146" i="75"/>
  <c r="H55" i="5"/>
  <c r="H30" i="5"/>
  <c r="J30" i="5"/>
  <c r="Z27" i="75"/>
  <c r="Z60" i="75"/>
  <c r="J127" i="5"/>
  <c r="H127" i="5"/>
  <c r="J48" i="5"/>
  <c r="J128" i="5"/>
  <c r="H128" i="5"/>
  <c r="J136" i="5"/>
  <c r="H136" i="5"/>
  <c r="J147" i="5"/>
  <c r="H147" i="5"/>
  <c r="Z145" i="75"/>
  <c r="J121" i="5"/>
  <c r="H121" i="5"/>
  <c r="J131" i="5"/>
  <c r="H131" i="5"/>
  <c r="Z101" i="75"/>
  <c r="H57" i="5"/>
  <c r="J57" i="5"/>
  <c r="J87" i="5"/>
  <c r="H87" i="5"/>
  <c r="H21" i="5"/>
  <c r="J143" i="5"/>
  <c r="H143" i="5"/>
  <c r="F30" i="5"/>
  <c r="Q6" i="75"/>
  <c r="G30" i="5"/>
  <c r="J134" i="5"/>
  <c r="H134" i="5"/>
  <c r="J73" i="5"/>
  <c r="H73" i="5"/>
  <c r="H124" i="5"/>
  <c r="H19" i="5"/>
  <c r="Z30" i="75"/>
  <c r="Z124" i="75"/>
  <c r="Q12" i="75"/>
  <c r="G25" i="5"/>
  <c r="K25" i="5" s="1"/>
  <c r="E85" i="5"/>
  <c r="Z82" i="75"/>
  <c r="Z50" i="75"/>
  <c r="J66" i="5"/>
  <c r="Z6" i="75"/>
  <c r="H63" i="5"/>
  <c r="Q9" i="75"/>
  <c r="G27" i="5"/>
  <c r="K27" i="5" s="1"/>
  <c r="J97" i="5"/>
  <c r="Z78" i="75"/>
  <c r="H97" i="5"/>
  <c r="J137" i="5"/>
  <c r="H137" i="5"/>
  <c r="H69" i="5"/>
  <c r="J69" i="5"/>
  <c r="Z22" i="75"/>
  <c r="H52" i="5"/>
  <c r="J52" i="5"/>
  <c r="E124" i="5"/>
  <c r="J126" i="5"/>
  <c r="H126" i="5"/>
  <c r="E119" i="5"/>
  <c r="E128" i="5"/>
  <c r="J110" i="5"/>
  <c r="Z130" i="75"/>
  <c r="H110" i="5"/>
  <c r="J135" i="5"/>
  <c r="H135" i="5"/>
  <c r="J75" i="5"/>
  <c r="Z106" i="75"/>
  <c r="H75" i="5"/>
  <c r="J60" i="5"/>
  <c r="H60" i="5"/>
  <c r="Z41" i="75"/>
  <c r="E89" i="5"/>
  <c r="H35" i="5"/>
  <c r="J35" i="5"/>
  <c r="H80" i="5"/>
  <c r="J80" i="5"/>
  <c r="H53" i="5"/>
  <c r="J53" i="5"/>
  <c r="Q11" i="75"/>
  <c r="G24" i="5"/>
  <c r="E10" i="5"/>
  <c r="H82" i="5"/>
  <c r="J82" i="5"/>
  <c r="Z44" i="75"/>
  <c r="J79" i="5"/>
  <c r="H79" i="5"/>
  <c r="E99" i="5"/>
  <c r="Z8" i="75"/>
  <c r="H33" i="5"/>
  <c r="J33" i="5"/>
  <c r="H42" i="5"/>
  <c r="J42" i="5"/>
  <c r="E63" i="5"/>
  <c r="J146" i="5"/>
  <c r="Z96" i="75"/>
  <c r="H146" i="5"/>
  <c r="E149" i="5"/>
  <c r="H37" i="5"/>
  <c r="J37" i="5"/>
  <c r="E38" i="5"/>
  <c r="E125" i="5"/>
  <c r="Z140" i="75"/>
  <c r="H28" i="5"/>
  <c r="E51" i="5"/>
  <c r="Z120" i="75"/>
  <c r="H18" i="5"/>
  <c r="J18" i="5"/>
  <c r="Z47" i="75"/>
  <c r="J81" i="5"/>
  <c r="E126" i="5"/>
  <c r="J103" i="5"/>
  <c r="Z61" i="75"/>
  <c r="H103" i="5"/>
  <c r="J22" i="5"/>
  <c r="H22" i="5"/>
  <c r="J113" i="5"/>
  <c r="H113" i="5"/>
  <c r="Z110" i="75"/>
  <c r="Z111" i="75"/>
  <c r="H65" i="5"/>
  <c r="J65" i="5"/>
  <c r="Z26" i="75"/>
  <c r="E16" i="5"/>
  <c r="Q13" i="75"/>
  <c r="G16" i="5"/>
  <c r="K16" i="5" s="1"/>
  <c r="E72" i="5"/>
  <c r="E31" i="5"/>
  <c r="Q3" i="75"/>
  <c r="G31" i="5" s="1"/>
  <c r="K31" i="5"/>
  <c r="E142" i="5"/>
  <c r="E56" i="5"/>
  <c r="E29" i="5"/>
  <c r="E57" i="5"/>
  <c r="E90" i="5"/>
  <c r="E113" i="5"/>
  <c r="E26" i="5"/>
  <c r="E130" i="5"/>
  <c r="E37" i="5"/>
  <c r="E79" i="5"/>
  <c r="E82" i="5"/>
  <c r="E137" i="5"/>
  <c r="E103" i="5"/>
  <c r="E5" i="5"/>
  <c r="E67" i="5"/>
  <c r="E14" i="5"/>
  <c r="Q7" i="75"/>
  <c r="G14" i="5" s="1"/>
  <c r="E75" i="5"/>
  <c r="J142" i="5"/>
  <c r="Z113" i="75"/>
  <c r="H142" i="5"/>
  <c r="M81" i="5"/>
  <c r="M28" i="5"/>
  <c r="N28" i="5" s="1"/>
  <c r="P10" i="3"/>
  <c r="Z19" i="75"/>
  <c r="H29" i="5"/>
  <c r="P26" i="5"/>
  <c r="AH15" i="3"/>
  <c r="M147" i="5"/>
  <c r="N147" i="5" s="1"/>
  <c r="P102" i="3"/>
  <c r="P34" i="3"/>
  <c r="M37" i="5"/>
  <c r="N37" i="5" s="1"/>
  <c r="E66" i="5"/>
  <c r="V140" i="4"/>
  <c r="Y69" i="5"/>
  <c r="W69" i="5"/>
  <c r="M82" i="5"/>
  <c r="E117" i="5"/>
  <c r="W16" i="5"/>
  <c r="L149" i="5"/>
  <c r="N149" i="5"/>
  <c r="P135" i="3"/>
  <c r="E97" i="5"/>
  <c r="Z123" i="75"/>
  <c r="H138" i="5"/>
  <c r="E86" i="5"/>
  <c r="U35" i="3"/>
  <c r="AA35" i="3" s="1"/>
  <c r="O39" i="5" s="1"/>
  <c r="Q39" i="5" s="1"/>
  <c r="U101" i="3"/>
  <c r="AA101" i="3" s="1"/>
  <c r="O131" i="5"/>
  <c r="Q131" i="5"/>
  <c r="R131" i="5"/>
  <c r="E131" i="5"/>
  <c r="E114" i="5"/>
  <c r="U127" i="3"/>
  <c r="AA127" i="3" s="1"/>
  <c r="O120" i="5" s="1"/>
  <c r="Q120" i="5" s="1"/>
  <c r="U119" i="3"/>
  <c r="AA119" i="3" s="1"/>
  <c r="O47" i="5"/>
  <c r="Q47" i="5"/>
  <c r="R47" i="5"/>
  <c r="AH12" i="3"/>
  <c r="AH95" i="3"/>
  <c r="AH135" i="3"/>
  <c r="AH27" i="3"/>
  <c r="L40" i="5"/>
  <c r="N40" i="5"/>
  <c r="P147" i="3"/>
  <c r="P37" i="5"/>
  <c r="H24" i="5"/>
  <c r="Z11" i="75"/>
  <c r="J24" i="5"/>
  <c r="J106" i="5"/>
  <c r="H106" i="5"/>
  <c r="Z46" i="75"/>
  <c r="J133" i="5"/>
  <c r="H133" i="5"/>
  <c r="Z117" i="75"/>
  <c r="W77" i="5"/>
  <c r="V80" i="4"/>
  <c r="Y77" i="5"/>
  <c r="J123" i="5"/>
  <c r="Z38" i="75"/>
  <c r="H123" i="5"/>
  <c r="Z54" i="75"/>
  <c r="H46" i="5"/>
  <c r="L17" i="5"/>
  <c r="N17" i="5" s="1"/>
  <c r="P16" i="3"/>
  <c r="J112" i="5"/>
  <c r="Z42" i="75"/>
  <c r="H112" i="5"/>
  <c r="J102" i="5"/>
  <c r="Z62" i="75"/>
  <c r="H102" i="5"/>
  <c r="H36" i="5"/>
  <c r="Z93" i="75"/>
  <c r="J36" i="5"/>
  <c r="K36" i="5" s="1"/>
  <c r="P142" i="5"/>
  <c r="Q142" i="5" s="1"/>
  <c r="AH113" i="3"/>
  <c r="M14" i="5"/>
  <c r="L132" i="5"/>
  <c r="N132" i="5"/>
  <c r="P129" i="3"/>
  <c r="E134" i="5"/>
  <c r="E107" i="5"/>
  <c r="E105" i="5"/>
  <c r="E74" i="5"/>
  <c r="E61" i="5"/>
  <c r="U52" i="3"/>
  <c r="AA52" i="3"/>
  <c r="O89" i="5" s="1"/>
  <c r="Q89" i="5" s="1"/>
  <c r="AH70" i="3"/>
  <c r="AH19" i="3"/>
  <c r="L123" i="5"/>
  <c r="N123" i="5"/>
  <c r="P38" i="3"/>
  <c r="AB41" i="5"/>
  <c r="AJ126" i="4"/>
  <c r="AC41" i="5"/>
  <c r="AH88" i="3"/>
  <c r="M75" i="5"/>
  <c r="N75" i="5"/>
  <c r="R75" i="5" s="1"/>
  <c r="P106" i="3"/>
  <c r="J104" i="5"/>
  <c r="Z51" i="75"/>
  <c r="H104" i="5"/>
  <c r="Z59" i="75"/>
  <c r="H85" i="5"/>
  <c r="J85" i="5"/>
  <c r="W43" i="5"/>
  <c r="V37" i="4"/>
  <c r="Y43" i="5" s="1"/>
  <c r="J117" i="5"/>
  <c r="H117" i="5"/>
  <c r="Z84" i="75"/>
  <c r="Z13" i="75"/>
  <c r="H16" i="5"/>
  <c r="M136" i="5"/>
  <c r="N136" i="5"/>
  <c r="P112" i="3"/>
  <c r="W6" i="5"/>
  <c r="V28" i="4"/>
  <c r="Y6" i="5"/>
  <c r="U66" i="3"/>
  <c r="AA66" i="3"/>
  <c r="O67" i="5" s="1"/>
  <c r="Q67" i="5" s="1"/>
  <c r="R67" i="5" s="1"/>
  <c r="U65" i="3"/>
  <c r="AA65" i="3"/>
  <c r="O100" i="5" s="1"/>
  <c r="Q100" i="5" s="1"/>
  <c r="R100" i="5" s="1"/>
  <c r="U13" i="3"/>
  <c r="AA13" i="3"/>
  <c r="O16" i="5"/>
  <c r="Q16" i="5"/>
  <c r="U77" i="3"/>
  <c r="AA77" i="3" s="1"/>
  <c r="O84" i="5" s="1"/>
  <c r="Q84" i="5" s="1"/>
  <c r="R84" i="5" s="1"/>
  <c r="U107" i="3"/>
  <c r="AH106" i="3"/>
  <c r="L41" i="5"/>
  <c r="N41" i="5"/>
  <c r="P126" i="3"/>
  <c r="P5" i="3"/>
  <c r="M32" i="5"/>
  <c r="N32" i="5"/>
  <c r="W74" i="5"/>
  <c r="V94" i="4"/>
  <c r="Y74" i="5"/>
  <c r="M84" i="5"/>
  <c r="N84" i="5"/>
  <c r="P77" i="3"/>
  <c r="M126" i="5"/>
  <c r="E73" i="5"/>
  <c r="M135" i="5"/>
  <c r="N135" i="5"/>
  <c r="P115" i="3"/>
  <c r="E83" i="5"/>
  <c r="M30" i="5"/>
  <c r="N30" i="5"/>
  <c r="R30" i="5" s="1"/>
  <c r="P6" i="3"/>
  <c r="E147" i="5"/>
  <c r="J109" i="5"/>
  <c r="Z53" i="75"/>
  <c r="H109" i="5"/>
  <c r="J145" i="5"/>
  <c r="Z104" i="75"/>
  <c r="H145" i="5"/>
  <c r="M12" i="5"/>
  <c r="H114" i="5"/>
  <c r="Z64" i="75"/>
  <c r="J114" i="5"/>
  <c r="J83" i="5"/>
  <c r="Z109" i="75"/>
  <c r="H83" i="5"/>
  <c r="Z16" i="75"/>
  <c r="H17" i="5"/>
  <c r="J17" i="5"/>
  <c r="K17" i="5" s="1"/>
  <c r="L16" i="5"/>
  <c r="N16" i="5"/>
  <c r="P13" i="3"/>
  <c r="M111" i="5"/>
  <c r="E135" i="5"/>
  <c r="E40" i="5"/>
  <c r="E129" i="5"/>
  <c r="E127" i="5"/>
  <c r="E110" i="5"/>
  <c r="U95" i="3"/>
  <c r="AA95" i="3"/>
  <c r="O129" i="5"/>
  <c r="Q129" i="5"/>
  <c r="AD93" i="5"/>
  <c r="AD125" i="5"/>
  <c r="AD9" i="5"/>
  <c r="AD42" i="5"/>
  <c r="AD128" i="5"/>
  <c r="AD68" i="5"/>
  <c r="AD105" i="5"/>
  <c r="AD60" i="5"/>
  <c r="AD55" i="5"/>
  <c r="AD64" i="5"/>
  <c r="AD48" i="5"/>
  <c r="AD107" i="5"/>
  <c r="AD117" i="5"/>
  <c r="AD110" i="5"/>
  <c r="AD58" i="5"/>
  <c r="AD56" i="5"/>
  <c r="AD11" i="5"/>
  <c r="AD144" i="5"/>
  <c r="AH41" i="3"/>
  <c r="AA121" i="3"/>
  <c r="O107" i="5"/>
  <c r="Q107" i="5"/>
  <c r="AH112" i="3"/>
  <c r="AA107" i="3"/>
  <c r="O51" i="5" s="1"/>
  <c r="Q51" i="5" s="1"/>
  <c r="AH34" i="3"/>
  <c r="AH44" i="3"/>
  <c r="AA5" i="3"/>
  <c r="O32" i="5"/>
  <c r="Q32" i="5"/>
  <c r="R32" i="5" s="1"/>
  <c r="AH16" i="3"/>
  <c r="AH114" i="3"/>
  <c r="AA56" i="3"/>
  <c r="O76" i="5"/>
  <c r="Q76" i="5"/>
  <c r="R40" i="5"/>
  <c r="K32" i="5"/>
  <c r="K10" i="5"/>
  <c r="AD8" i="5"/>
  <c r="AA102" i="3"/>
  <c r="O147" i="5" s="1"/>
  <c r="AA58" i="3"/>
  <c r="O99" i="5"/>
  <c r="Q99" i="5"/>
  <c r="AD126" i="5"/>
  <c r="AD40" i="5"/>
  <c r="AA133" i="3"/>
  <c r="O55" i="5"/>
  <c r="Q55" i="5"/>
  <c r="R55" i="5" s="1"/>
  <c r="AH110" i="3"/>
  <c r="AA118" i="3"/>
  <c r="O139" i="5"/>
  <c r="Q139" i="5"/>
  <c r="R139" i="5" s="1"/>
  <c r="AH118" i="3"/>
  <c r="AD6" i="5"/>
  <c r="AD53" i="5"/>
  <c r="AA120" i="3"/>
  <c r="O137" i="5"/>
  <c r="Q137" i="5"/>
  <c r="AA86" i="3"/>
  <c r="O73" i="5"/>
  <c r="Q73" i="5"/>
  <c r="R73" i="5"/>
  <c r="AH86" i="3"/>
  <c r="AH90" i="3"/>
  <c r="K14" i="5"/>
  <c r="AH64" i="3"/>
  <c r="AH138" i="3"/>
  <c r="AA138" i="3"/>
  <c r="O101" i="5"/>
  <c r="Q101" i="5"/>
  <c r="AH81" i="3"/>
  <c r="K20" i="5"/>
  <c r="K18" i="5"/>
  <c r="K28" i="5"/>
  <c r="K24" i="5"/>
  <c r="K30" i="5"/>
  <c r="R16" i="5"/>
  <c r="AE15" i="5" l="1"/>
  <c r="AE32" i="5"/>
  <c r="AE30" i="5"/>
  <c r="R132" i="5"/>
  <c r="AH36" i="3"/>
  <c r="Q61" i="5"/>
  <c r="R61" i="5" s="1"/>
  <c r="R118" i="5"/>
  <c r="AD18" i="5"/>
  <c r="AE18" i="5" s="1"/>
  <c r="Q15" i="75"/>
  <c r="G26" i="5" s="1"/>
  <c r="K26" i="5" s="1"/>
  <c r="AD143" i="5"/>
  <c r="P105" i="5"/>
  <c r="V120" i="4"/>
  <c r="Y137" i="5" s="1"/>
  <c r="AD137" i="5" s="1"/>
  <c r="W137" i="5"/>
  <c r="AA30" i="75"/>
  <c r="J19" i="5" s="1"/>
  <c r="W30" i="5"/>
  <c r="V6" i="4"/>
  <c r="Y30" i="5" s="1"/>
  <c r="AD30" i="5" s="1"/>
  <c r="T20" i="5"/>
  <c r="J90" i="4"/>
  <c r="U20" i="5" s="1"/>
  <c r="N10" i="5"/>
  <c r="R10" i="5" s="1"/>
  <c r="AE10" i="5" s="1"/>
  <c r="U16" i="3"/>
  <c r="AA16" i="3" s="1"/>
  <c r="O17" i="5" s="1"/>
  <c r="Q17" i="5" s="1"/>
  <c r="R17" i="5" s="1"/>
  <c r="T47" i="5"/>
  <c r="J119" i="4"/>
  <c r="U47" i="5" s="1"/>
  <c r="V113" i="4"/>
  <c r="Y142" i="5" s="1"/>
  <c r="AD142" i="5" s="1"/>
  <c r="I98" i="5"/>
  <c r="H59" i="5"/>
  <c r="Z134" i="75"/>
  <c r="AA3" i="3"/>
  <c r="O31" i="5" s="1"/>
  <c r="Q31" i="5" s="1"/>
  <c r="T148" i="5"/>
  <c r="J103" i="4"/>
  <c r="U148" i="5" s="1"/>
  <c r="AA35" i="75"/>
  <c r="J39" i="5" s="1"/>
  <c r="I39" i="5"/>
  <c r="H129" i="5"/>
  <c r="AA95" i="75"/>
  <c r="J129" i="5" s="1"/>
  <c r="V108" i="5"/>
  <c r="V43" i="4"/>
  <c r="Y108" i="5" s="1"/>
  <c r="W124" i="5"/>
  <c r="V60" i="4"/>
  <c r="Y124" i="5" s="1"/>
  <c r="AD124" i="5" s="1"/>
  <c r="V90" i="4"/>
  <c r="Y20" i="5" s="1"/>
  <c r="AA80" i="3"/>
  <c r="O77" i="5" s="1"/>
  <c r="Q77" i="5" s="1"/>
  <c r="R69" i="3"/>
  <c r="S69" i="3"/>
  <c r="T69" i="3" s="1"/>
  <c r="S19" i="3"/>
  <c r="T19" i="3" s="1"/>
  <c r="R19" i="3"/>
  <c r="U19" i="3" s="1"/>
  <c r="AA19" i="3" s="1"/>
  <c r="O29" i="5" s="1"/>
  <c r="Q29" i="5" s="1"/>
  <c r="R29" i="5" s="1"/>
  <c r="I27" i="5"/>
  <c r="L137" i="5"/>
  <c r="N137" i="5" s="1"/>
  <c r="R137" i="5" s="1"/>
  <c r="P120" i="3"/>
  <c r="H148" i="5"/>
  <c r="AA103" i="75"/>
  <c r="J148" i="5" s="1"/>
  <c r="W115" i="5"/>
  <c r="V85" i="4"/>
  <c r="Y115" i="5" s="1"/>
  <c r="AD115" i="5" s="1"/>
  <c r="AA142" i="3"/>
  <c r="O68" i="5" s="1"/>
  <c r="Q68" i="5" s="1"/>
  <c r="Z141" i="3"/>
  <c r="AH141" i="3" s="1"/>
  <c r="U96" i="3"/>
  <c r="AA96" i="3" s="1"/>
  <c r="O146" i="5" s="1"/>
  <c r="Q146" i="5" s="1"/>
  <c r="AA68" i="3"/>
  <c r="O95" i="5" s="1"/>
  <c r="Q95" i="5" s="1"/>
  <c r="W130" i="5"/>
  <c r="V100" i="4"/>
  <c r="Y130" i="5" s="1"/>
  <c r="AD130" i="5" s="1"/>
  <c r="V37" i="5"/>
  <c r="V34" i="4"/>
  <c r="Y37" i="5" s="1"/>
  <c r="R33" i="5"/>
  <c r="AA141" i="3"/>
  <c r="O62" i="5" s="1"/>
  <c r="Q62" i="5" s="1"/>
  <c r="S116" i="3"/>
  <c r="T116" i="3" s="1"/>
  <c r="R116" i="3"/>
  <c r="U116" i="3" s="1"/>
  <c r="AA116" i="3" s="1"/>
  <c r="O125" i="5" s="1"/>
  <c r="Q125" i="5" s="1"/>
  <c r="R125" i="5" s="1"/>
  <c r="U82" i="3"/>
  <c r="AA82" i="3" s="1"/>
  <c r="O80" i="5" s="1"/>
  <c r="Q80" i="5" s="1"/>
  <c r="R80" i="5" s="1"/>
  <c r="U72" i="3"/>
  <c r="AA72" i="3" s="1"/>
  <c r="O78" i="5" s="1"/>
  <c r="Q78" i="5" s="1"/>
  <c r="V17" i="5"/>
  <c r="N103" i="5"/>
  <c r="R103" i="5" s="1"/>
  <c r="AA148" i="3"/>
  <c r="O49" i="5" s="1"/>
  <c r="Q49" i="5" s="1"/>
  <c r="AA130" i="3"/>
  <c r="O110" i="5" s="1"/>
  <c r="Q110" i="5" s="1"/>
  <c r="U125" i="3"/>
  <c r="AA125" i="3" s="1"/>
  <c r="O105" i="5" s="1"/>
  <c r="Q105" i="5" s="1"/>
  <c r="P50" i="5"/>
  <c r="Q50" i="5" s="1"/>
  <c r="AH145" i="3"/>
  <c r="W89" i="5"/>
  <c r="V52" i="4"/>
  <c r="Y89" i="5" s="1"/>
  <c r="AD89" i="5" s="1"/>
  <c r="P61" i="5"/>
  <c r="AH132" i="3"/>
  <c r="V67" i="4"/>
  <c r="Y57" i="5" s="1"/>
  <c r="W57" i="5"/>
  <c r="M46" i="5"/>
  <c r="N46" i="5" s="1"/>
  <c r="P54" i="3"/>
  <c r="AH50" i="3"/>
  <c r="AA70" i="3"/>
  <c r="O44" i="5" s="1"/>
  <c r="Q44" i="5" s="1"/>
  <c r="AH42" i="3"/>
  <c r="AH8" i="3"/>
  <c r="U87" i="3"/>
  <c r="AA87" i="3" s="1"/>
  <c r="O72" i="5" s="1"/>
  <c r="Q72" i="5" s="1"/>
  <c r="S79" i="3"/>
  <c r="T79" i="3" s="1"/>
  <c r="R79" i="3"/>
  <c r="S10" i="3"/>
  <c r="T10" i="3" s="1"/>
  <c r="R10" i="3"/>
  <c r="U10" i="3" s="1"/>
  <c r="AA10" i="3" s="1"/>
  <c r="O28" i="5" s="1"/>
  <c r="Q28" i="5" s="1"/>
  <c r="R28" i="5" s="1"/>
  <c r="AE28" i="5" s="1"/>
  <c r="I51" i="5"/>
  <c r="I40" i="5"/>
  <c r="U111" i="3"/>
  <c r="AA111" i="3" s="1"/>
  <c r="O65" i="5" s="1"/>
  <c r="Q65" i="5" s="1"/>
  <c r="R78" i="3"/>
  <c r="S78" i="3"/>
  <c r="T78" i="3" s="1"/>
  <c r="J139" i="4"/>
  <c r="U45" i="5" s="1"/>
  <c r="AD45" i="5" s="1"/>
  <c r="S129" i="3"/>
  <c r="T129" i="3" s="1"/>
  <c r="R129" i="3"/>
  <c r="U129" i="3" s="1"/>
  <c r="AA129" i="3" s="1"/>
  <c r="O132" i="5" s="1"/>
  <c r="Q132" i="5" s="1"/>
  <c r="AH85" i="3"/>
  <c r="S59" i="3"/>
  <c r="T59" i="3" s="1"/>
  <c r="R59" i="3"/>
  <c r="U59" i="3" s="1"/>
  <c r="AA59" i="3" s="1"/>
  <c r="O85" i="5" s="1"/>
  <c r="Q85" i="5" s="1"/>
  <c r="U51" i="3"/>
  <c r="AA51" i="3" s="1"/>
  <c r="O104" i="5" s="1"/>
  <c r="Q104" i="5" s="1"/>
  <c r="R38" i="3"/>
  <c r="U38" i="3" s="1"/>
  <c r="AA38" i="3" s="1"/>
  <c r="O123" i="5" s="1"/>
  <c r="Q123" i="5" s="1"/>
  <c r="R123" i="5" s="1"/>
  <c r="S38" i="3"/>
  <c r="T38" i="3" s="1"/>
  <c r="S7" i="3"/>
  <c r="T7" i="3" s="1"/>
  <c r="R7" i="3"/>
  <c r="U7" i="3" s="1"/>
  <c r="AA7" i="3" s="1"/>
  <c r="O14" i="5" s="1"/>
  <c r="Q14" i="5" s="1"/>
  <c r="O45" i="75"/>
  <c r="I126" i="4"/>
  <c r="R115" i="3"/>
  <c r="U115" i="3" s="1"/>
  <c r="AA115" i="3" s="1"/>
  <c r="O135" i="5" s="1"/>
  <c r="Q135" i="5" s="1"/>
  <c r="R135" i="5" s="1"/>
  <c r="S115" i="3"/>
  <c r="T115" i="3" s="1"/>
  <c r="U93" i="3"/>
  <c r="AA93" i="3" s="1"/>
  <c r="O36" i="5" s="1"/>
  <c r="Q36" i="5" s="1"/>
  <c r="R36" i="5" s="1"/>
  <c r="AE36" i="5" s="1"/>
  <c r="S40" i="3"/>
  <c r="T40" i="3" s="1"/>
  <c r="R40" i="3"/>
  <c r="U40" i="3" s="1"/>
  <c r="AA40" i="3" s="1"/>
  <c r="O122" i="5" s="1"/>
  <c r="Q122" i="5" s="1"/>
  <c r="R30" i="3"/>
  <c r="S30" i="3"/>
  <c r="T30" i="3" s="1"/>
  <c r="N146" i="75"/>
  <c r="O134" i="75"/>
  <c r="N102" i="75"/>
  <c r="S135" i="3"/>
  <c r="T135" i="3" s="1"/>
  <c r="U135" i="3" s="1"/>
  <c r="AA135" i="3" s="1"/>
  <c r="O149" i="5" s="1"/>
  <c r="Q149" i="5" s="1"/>
  <c r="R149" i="5" s="1"/>
  <c r="U128" i="3"/>
  <c r="AA128" i="3" s="1"/>
  <c r="O118" i="5" s="1"/>
  <c r="Q118" i="5" s="1"/>
  <c r="R97" i="3"/>
  <c r="U97" i="3" s="1"/>
  <c r="AA97" i="3" s="1"/>
  <c r="O71" i="5" s="1"/>
  <c r="Q71" i="5" s="1"/>
  <c r="R71" i="5" s="1"/>
  <c r="R90" i="3"/>
  <c r="U90" i="3" s="1"/>
  <c r="AA90" i="3" s="1"/>
  <c r="O20" i="5" s="1"/>
  <c r="Q20" i="5" s="1"/>
  <c r="R20" i="5" s="1"/>
  <c r="R60" i="3"/>
  <c r="U60" i="3" s="1"/>
  <c r="AA60" i="3" s="1"/>
  <c r="O124" i="5" s="1"/>
  <c r="Q124" i="5" s="1"/>
  <c r="S47" i="3"/>
  <c r="T47" i="3" s="1"/>
  <c r="R47" i="3"/>
  <c r="U47" i="3" s="1"/>
  <c r="AA47" i="3" s="1"/>
  <c r="O82" i="5" s="1"/>
  <c r="Q82" i="5" s="1"/>
  <c r="S12" i="3"/>
  <c r="T12" i="3" s="1"/>
  <c r="R12" i="3"/>
  <c r="U12" i="3" s="1"/>
  <c r="AA12" i="3" s="1"/>
  <c r="O25" i="5" s="1"/>
  <c r="Q25" i="5" s="1"/>
  <c r="U8" i="3"/>
  <c r="AA8" i="3" s="1"/>
  <c r="O33" i="5" s="1"/>
  <c r="Q33" i="5" s="1"/>
  <c r="N143" i="75"/>
  <c r="I6" i="5"/>
  <c r="R143" i="3"/>
  <c r="U143" i="3" s="1"/>
  <c r="AA143" i="3" s="1"/>
  <c r="O53" i="5" s="1"/>
  <c r="Q53" i="5" s="1"/>
  <c r="R137" i="3"/>
  <c r="U137" i="3" s="1"/>
  <c r="AA137" i="3" s="1"/>
  <c r="O144" i="5" s="1"/>
  <c r="Q144" i="5" s="1"/>
  <c r="S114" i="3"/>
  <c r="T114" i="3" s="1"/>
  <c r="U114" i="3" s="1"/>
  <c r="AA114" i="3" s="1"/>
  <c r="O140" i="5" s="1"/>
  <c r="Q140" i="5" s="1"/>
  <c r="R140" i="5" s="1"/>
  <c r="U110" i="3"/>
  <c r="AA110" i="3" s="1"/>
  <c r="O79" i="5" s="1"/>
  <c r="Q79" i="5" s="1"/>
  <c r="R79" i="5" s="1"/>
  <c r="S88" i="3"/>
  <c r="T88" i="3" s="1"/>
  <c r="U88" i="3" s="1"/>
  <c r="AA88" i="3" s="1"/>
  <c r="O119" i="5" s="1"/>
  <c r="Q119" i="5" s="1"/>
  <c r="R81" i="3"/>
  <c r="S81" i="3"/>
  <c r="T81" i="3" s="1"/>
  <c r="S62" i="3"/>
  <c r="T62" i="3" s="1"/>
  <c r="U62" i="3" s="1"/>
  <c r="AA62" i="3" s="1"/>
  <c r="O102" i="5" s="1"/>
  <c r="Q102" i="5" s="1"/>
  <c r="R102" i="5" s="1"/>
  <c r="U4" i="3"/>
  <c r="AA4" i="3" s="1"/>
  <c r="O34" i="5" s="1"/>
  <c r="Q34" i="5" s="1"/>
  <c r="I106" i="4"/>
  <c r="U112" i="3"/>
  <c r="AA112" i="3" s="1"/>
  <c r="O136" i="5" s="1"/>
  <c r="Q136" i="5" s="1"/>
  <c r="R136" i="5" s="1"/>
  <c r="R99" i="3"/>
  <c r="S99" i="3"/>
  <c r="T99" i="3" s="1"/>
  <c r="R92" i="3"/>
  <c r="S92" i="3"/>
  <c r="T92" i="3" s="1"/>
  <c r="S64" i="3"/>
  <c r="T64" i="3" s="1"/>
  <c r="U64" i="3" s="1"/>
  <c r="AA64" i="3" s="1"/>
  <c r="O114" i="5" s="1"/>
  <c r="Q114" i="5" s="1"/>
  <c r="S32" i="3"/>
  <c r="T32" i="3" s="1"/>
  <c r="R32" i="3"/>
  <c r="U11" i="3"/>
  <c r="AA11" i="3" s="1"/>
  <c r="O24" i="5" s="1"/>
  <c r="Q24" i="5" s="1"/>
  <c r="R24" i="5" s="1"/>
  <c r="N64" i="75"/>
  <c r="R139" i="3"/>
  <c r="U139" i="3" s="1"/>
  <c r="AA139" i="3" s="1"/>
  <c r="O45" i="5" s="1"/>
  <c r="Q45" i="5" s="1"/>
  <c r="R45" i="5" s="1"/>
  <c r="S139" i="3"/>
  <c r="T139" i="3" s="1"/>
  <c r="R42" i="3"/>
  <c r="S42" i="3"/>
  <c r="T42" i="3" s="1"/>
  <c r="N142" i="75"/>
  <c r="N145" i="75"/>
  <c r="N144" i="75"/>
  <c r="N132" i="75"/>
  <c r="N126" i="75"/>
  <c r="N117" i="75"/>
  <c r="N112" i="75"/>
  <c r="N80" i="75"/>
  <c r="N60" i="75"/>
  <c r="N51" i="75"/>
  <c r="N40" i="75"/>
  <c r="N30" i="75"/>
  <c r="N20" i="75"/>
  <c r="I127" i="4"/>
  <c r="N147" i="75"/>
  <c r="N134" i="75"/>
  <c r="N118" i="75"/>
  <c r="N81" i="75"/>
  <c r="N61" i="75"/>
  <c r="N52" i="75"/>
  <c r="N41" i="75"/>
  <c r="N37" i="75"/>
  <c r="N31" i="75"/>
  <c r="N21" i="75"/>
  <c r="R54" i="3"/>
  <c r="U54" i="3" s="1"/>
  <c r="AA54" i="3" s="1"/>
  <c r="O46" i="5" s="1"/>
  <c r="Q46" i="5" s="1"/>
  <c r="R34" i="3"/>
  <c r="U34" i="3" s="1"/>
  <c r="AA34" i="3" s="1"/>
  <c r="O37" i="5" s="1"/>
  <c r="Q37" i="5" s="1"/>
  <c r="R37" i="5" s="1"/>
  <c r="S11" i="3"/>
  <c r="T11" i="3" s="1"/>
  <c r="N148" i="75"/>
  <c r="N139" i="75"/>
  <c r="N128" i="75"/>
  <c r="N109" i="75"/>
  <c r="N100" i="75"/>
  <c r="N71" i="75"/>
  <c r="N42" i="75"/>
  <c r="N32" i="75"/>
  <c r="M128" i="4"/>
  <c r="M109" i="4"/>
  <c r="S15" i="3"/>
  <c r="T15" i="3" s="1"/>
  <c r="U15" i="3" s="1"/>
  <c r="AA15" i="3" s="1"/>
  <c r="O26" i="5" s="1"/>
  <c r="Q26" i="5" s="1"/>
  <c r="N140" i="75"/>
  <c r="N135" i="75"/>
  <c r="N119" i="75"/>
  <c r="N82" i="75"/>
  <c r="N62" i="75"/>
  <c r="N53" i="75"/>
  <c r="O20" i="75"/>
  <c r="N141" i="75"/>
  <c r="N129" i="75"/>
  <c r="N110" i="75"/>
  <c r="N101" i="75"/>
  <c r="N72" i="75"/>
  <c r="N63" i="75"/>
  <c r="I129" i="4"/>
  <c r="N124" i="75"/>
  <c r="N116" i="75"/>
  <c r="N106" i="75"/>
  <c r="N98" i="75"/>
  <c r="N96" i="75"/>
  <c r="N88" i="75"/>
  <c r="N78" i="75"/>
  <c r="N76" i="75"/>
  <c r="N68" i="75"/>
  <c r="N57" i="75"/>
  <c r="J27" i="3"/>
  <c r="J30" i="4"/>
  <c r="U19" i="5" s="1"/>
  <c r="S19" i="5"/>
  <c r="M45" i="4"/>
  <c r="J145" i="3"/>
  <c r="N121" i="75"/>
  <c r="N113" i="75"/>
  <c r="N111" i="75"/>
  <c r="N103" i="75"/>
  <c r="N85" i="75"/>
  <c r="N83" i="75"/>
  <c r="N73" i="75"/>
  <c r="N65" i="75"/>
  <c r="N54" i="75"/>
  <c r="N45" i="75"/>
  <c r="N43" i="75"/>
  <c r="N33" i="75"/>
  <c r="N25" i="75"/>
  <c r="M53" i="4"/>
  <c r="J113" i="3"/>
  <c r="N130" i="75"/>
  <c r="N122" i="75"/>
  <c r="N114" i="75"/>
  <c r="N104" i="75"/>
  <c r="N94" i="75"/>
  <c r="N86" i="75"/>
  <c r="N84" i="75"/>
  <c r="N74" i="75"/>
  <c r="N66" i="75"/>
  <c r="N55" i="75"/>
  <c r="N46" i="75"/>
  <c r="N44" i="75"/>
  <c r="N34" i="75"/>
  <c r="N26" i="75"/>
  <c r="N131" i="75"/>
  <c r="N123" i="75"/>
  <c r="N115" i="75"/>
  <c r="N105" i="75"/>
  <c r="N97" i="75"/>
  <c r="N95" i="75"/>
  <c r="N87" i="75"/>
  <c r="N77" i="75"/>
  <c r="N75" i="75"/>
  <c r="N67" i="75"/>
  <c r="N56" i="75"/>
  <c r="N47" i="75"/>
  <c r="N35" i="75"/>
  <c r="N27" i="75"/>
  <c r="J124" i="3"/>
  <c r="J28" i="3"/>
  <c r="M13" i="4"/>
  <c r="J131" i="3"/>
  <c r="O148" i="3"/>
  <c r="O123" i="3"/>
  <c r="O111" i="3"/>
  <c r="M65" i="5" s="1"/>
  <c r="O37" i="3"/>
  <c r="AA144" i="75"/>
  <c r="J86" i="5" s="1"/>
  <c r="S58" i="4"/>
  <c r="I127" i="3"/>
  <c r="J127" i="3" s="1"/>
  <c r="O33" i="3"/>
  <c r="AA126" i="75"/>
  <c r="J41" i="5" s="1"/>
  <c r="T39" i="75"/>
  <c r="T4" i="75"/>
  <c r="N19" i="75"/>
  <c r="P19" i="75" s="1"/>
  <c r="S104" i="4"/>
  <c r="AA139" i="75"/>
  <c r="J45" i="5" s="1"/>
  <c r="AA91" i="75"/>
  <c r="J12" i="5" s="1"/>
  <c r="K12" i="5" s="1"/>
  <c r="I142" i="3"/>
  <c r="I110" i="3"/>
  <c r="I70" i="3"/>
  <c r="I46" i="3"/>
  <c r="I14" i="3"/>
  <c r="S114" i="4"/>
  <c r="I12" i="4"/>
  <c r="M7" i="4"/>
  <c r="I87" i="3"/>
  <c r="I63" i="3"/>
  <c r="J146" i="3"/>
  <c r="J142" i="3"/>
  <c r="J138" i="3"/>
  <c r="J130" i="3"/>
  <c r="J121" i="3"/>
  <c r="J108" i="3"/>
  <c r="J104" i="3"/>
  <c r="J100" i="3"/>
  <c r="J96" i="3"/>
  <c r="J92" i="3"/>
  <c r="J88" i="3"/>
  <c r="J84" i="3"/>
  <c r="J80" i="3"/>
  <c r="J76" i="3"/>
  <c r="J72" i="3"/>
  <c r="J68" i="3"/>
  <c r="J64" i="3"/>
  <c r="J60" i="3"/>
  <c r="J56" i="3"/>
  <c r="J52" i="3"/>
  <c r="J48" i="3"/>
  <c r="J44" i="3"/>
  <c r="J40" i="3"/>
  <c r="J36" i="3"/>
  <c r="J32" i="3"/>
  <c r="J20" i="3"/>
  <c r="J12" i="3"/>
  <c r="J4" i="3"/>
  <c r="O143" i="3"/>
  <c r="O137" i="3"/>
  <c r="O52" i="3"/>
  <c r="M89" i="5" s="1"/>
  <c r="O12" i="3"/>
  <c r="M25" i="5" s="1"/>
  <c r="AA138" i="75"/>
  <c r="J101" i="5" s="1"/>
  <c r="J3" i="3"/>
  <c r="I20" i="3"/>
  <c r="AG142" i="3"/>
  <c r="P68" i="5" s="1"/>
  <c r="AG126" i="3"/>
  <c r="AG102" i="3"/>
  <c r="J141" i="3"/>
  <c r="J125" i="3"/>
  <c r="J111" i="3"/>
  <c r="J107" i="3"/>
  <c r="J103" i="3"/>
  <c r="J99" i="3"/>
  <c r="J95" i="3"/>
  <c r="J91" i="3"/>
  <c r="J87" i="3"/>
  <c r="J83" i="3"/>
  <c r="J79" i="3"/>
  <c r="J75" i="3"/>
  <c r="J71" i="3"/>
  <c r="J67" i="3"/>
  <c r="J63" i="3"/>
  <c r="J59" i="3"/>
  <c r="J55" i="3"/>
  <c r="J51" i="3"/>
  <c r="J47" i="3"/>
  <c r="J43" i="3"/>
  <c r="J39" i="3"/>
  <c r="J35" i="3"/>
  <c r="J31" i="3"/>
  <c r="J23" i="3"/>
  <c r="J15" i="3"/>
  <c r="J7" i="3"/>
  <c r="O146" i="3"/>
  <c r="M48" i="5" s="1"/>
  <c r="O142" i="3"/>
  <c r="M68" i="5" s="1"/>
  <c r="O70" i="3"/>
  <c r="O58" i="3"/>
  <c r="O28" i="3"/>
  <c r="M6" i="5" s="1"/>
  <c r="AA87" i="75"/>
  <c r="J72" i="5" s="1"/>
  <c r="AA71" i="75"/>
  <c r="J56" i="5" s="1"/>
  <c r="J26" i="3"/>
  <c r="O41" i="3"/>
  <c r="I113" i="3"/>
  <c r="I89" i="3"/>
  <c r="I49" i="3"/>
  <c r="Z121" i="75"/>
  <c r="Y65" i="75"/>
  <c r="Z65" i="75" s="1"/>
  <c r="AB140" i="4"/>
  <c r="AB135" i="4"/>
  <c r="AB108" i="4"/>
  <c r="AB102" i="4"/>
  <c r="AB80" i="4"/>
  <c r="AB145" i="4"/>
  <c r="AB123" i="4"/>
  <c r="AB90" i="4"/>
  <c r="AB136" i="4"/>
  <c r="AB131" i="4"/>
  <c r="AB103" i="4"/>
  <c r="AB98" i="4"/>
  <c r="G107" i="75"/>
  <c r="P107" i="75" s="1"/>
  <c r="G99" i="75"/>
  <c r="P99" i="75" s="1"/>
  <c r="AB141" i="4"/>
  <c r="AB119" i="4"/>
  <c r="AB144" i="4"/>
  <c r="AB112" i="4"/>
  <c r="G86" i="75"/>
  <c r="P86" i="75" s="1"/>
  <c r="G78" i="75"/>
  <c r="G70" i="75"/>
  <c r="P70" i="75" s="1"/>
  <c r="G62" i="75"/>
  <c r="G54" i="75"/>
  <c r="G46" i="75"/>
  <c r="P46" i="75" s="1"/>
  <c r="G38" i="75"/>
  <c r="P38" i="75" s="1"/>
  <c r="G30" i="75"/>
  <c r="P30" i="75" s="1"/>
  <c r="G22" i="75"/>
  <c r="P22" i="75" s="1"/>
  <c r="G144" i="75"/>
  <c r="G136" i="75"/>
  <c r="P136" i="75" s="1"/>
  <c r="G128" i="75"/>
  <c r="P128" i="75" s="1"/>
  <c r="G120" i="75"/>
  <c r="P120" i="75" s="1"/>
  <c r="AB3" i="4"/>
  <c r="Z31" i="5" s="1"/>
  <c r="AB132" i="4"/>
  <c r="AB127" i="4"/>
  <c r="AB99" i="4"/>
  <c r="AB94" i="4"/>
  <c r="AB78" i="4"/>
  <c r="AB62" i="4"/>
  <c r="AB46" i="4"/>
  <c r="AB31" i="4"/>
  <c r="AB23" i="4"/>
  <c r="AB15" i="4"/>
  <c r="AB7" i="4"/>
  <c r="G106" i="75"/>
  <c r="G98" i="75"/>
  <c r="G85" i="75"/>
  <c r="G77" i="75"/>
  <c r="P77" i="75" s="1"/>
  <c r="G69" i="75"/>
  <c r="P69" i="75" s="1"/>
  <c r="G61" i="75"/>
  <c r="P61" i="75" s="1"/>
  <c r="G53" i="75"/>
  <c r="P53" i="75" s="1"/>
  <c r="G45" i="75"/>
  <c r="P45" i="75" s="1"/>
  <c r="F91" i="5" s="1"/>
  <c r="G37" i="75"/>
  <c r="P37" i="75" s="1"/>
  <c r="G29" i="75"/>
  <c r="P29" i="75" s="1"/>
  <c r="G21" i="75"/>
  <c r="G143" i="75"/>
  <c r="P143" i="75" s="1"/>
  <c r="G135" i="75"/>
  <c r="P135" i="75" s="1"/>
  <c r="G127" i="75"/>
  <c r="P127" i="75" s="1"/>
  <c r="G119" i="75"/>
  <c r="P119" i="75" s="1"/>
  <c r="AB82" i="4"/>
  <c r="AB75" i="4"/>
  <c r="AB59" i="4"/>
  <c r="AB43" i="4"/>
  <c r="AB37" i="4"/>
  <c r="AB34" i="4"/>
  <c r="AB26" i="4"/>
  <c r="G105" i="75"/>
  <c r="P105" i="75" s="1"/>
  <c r="G97" i="75"/>
  <c r="P97" i="75" s="1"/>
  <c r="G84" i="75"/>
  <c r="G76" i="75"/>
  <c r="G68" i="75"/>
  <c r="P68" i="75" s="1"/>
  <c r="G60" i="75"/>
  <c r="P60" i="75" s="1"/>
  <c r="G52" i="75"/>
  <c r="G44" i="75"/>
  <c r="P44" i="75" s="1"/>
  <c r="G36" i="75"/>
  <c r="P36" i="75" s="1"/>
  <c r="G28" i="75"/>
  <c r="P28" i="75" s="1"/>
  <c r="G88" i="75"/>
  <c r="G142" i="75"/>
  <c r="G134" i="75"/>
  <c r="G126" i="75"/>
  <c r="P126" i="75" s="1"/>
  <c r="G118" i="75"/>
  <c r="P118" i="75" s="1"/>
  <c r="AB86" i="4"/>
  <c r="G94" i="75"/>
  <c r="P94" i="75" s="1"/>
  <c r="G104" i="75"/>
  <c r="P104" i="75" s="1"/>
  <c r="G96" i="75"/>
  <c r="AJ105" i="4"/>
  <c r="AC127" i="5" s="1"/>
  <c r="AD127" i="5" s="1"/>
  <c r="AB127" i="5"/>
  <c r="G83" i="75"/>
  <c r="P83" i="75" s="1"/>
  <c r="G75" i="75"/>
  <c r="P75" i="75" s="1"/>
  <c r="G67" i="75"/>
  <c r="P67" i="75" s="1"/>
  <c r="G59" i="75"/>
  <c r="P59" i="75" s="1"/>
  <c r="G51" i="75"/>
  <c r="P51" i="75" s="1"/>
  <c r="G43" i="75"/>
  <c r="P43" i="75" s="1"/>
  <c r="G35" i="75"/>
  <c r="P35" i="75" s="1"/>
  <c r="G27" i="75"/>
  <c r="P27" i="75" s="1"/>
  <c r="G112" i="75"/>
  <c r="P112" i="75" s="1"/>
  <c r="G141" i="75"/>
  <c r="P141" i="75" s="1"/>
  <c r="G133" i="75"/>
  <c r="P133" i="75" s="1"/>
  <c r="G125" i="75"/>
  <c r="P125" i="75" s="1"/>
  <c r="G117" i="75"/>
  <c r="P117" i="75" s="1"/>
  <c r="AB63" i="4"/>
  <c r="AB47" i="4"/>
  <c r="AB32" i="4"/>
  <c r="AB24" i="4"/>
  <c r="AB16" i="4"/>
  <c r="AB8" i="4"/>
  <c r="G111" i="75"/>
  <c r="P111" i="75" s="1"/>
  <c r="G103" i="75"/>
  <c r="P103" i="75" s="1"/>
  <c r="G95" i="75"/>
  <c r="P95" i="75" s="1"/>
  <c r="G82" i="75"/>
  <c r="G74" i="75"/>
  <c r="G66" i="75"/>
  <c r="P66" i="75" s="1"/>
  <c r="G58" i="75"/>
  <c r="P58" i="75" s="1"/>
  <c r="G50" i="75"/>
  <c r="P50" i="75" s="1"/>
  <c r="G42" i="75"/>
  <c r="G34" i="75"/>
  <c r="P34" i="75" s="1"/>
  <c r="G26" i="75"/>
  <c r="G148" i="75"/>
  <c r="G140" i="75"/>
  <c r="P140" i="75" s="1"/>
  <c r="G132" i="75"/>
  <c r="G124" i="75"/>
  <c r="P124" i="75" s="1"/>
  <c r="G116" i="75"/>
  <c r="P116" i="75" s="1"/>
  <c r="AB70" i="4"/>
  <c r="AB54" i="4"/>
  <c r="AB38" i="4"/>
  <c r="AB35" i="4"/>
  <c r="AB27" i="4"/>
  <c r="AB19" i="4"/>
  <c r="AB11" i="4"/>
  <c r="G110" i="75"/>
  <c r="P110" i="75" s="1"/>
  <c r="G102" i="75"/>
  <c r="P102" i="75" s="1"/>
  <c r="G81" i="75"/>
  <c r="P81" i="75" s="1"/>
  <c r="G73" i="75"/>
  <c r="G65" i="75"/>
  <c r="G57" i="75"/>
  <c r="P57" i="75" s="1"/>
  <c r="G49" i="75"/>
  <c r="P49" i="75" s="1"/>
  <c r="G41" i="75"/>
  <c r="P41" i="75" s="1"/>
  <c r="G33" i="75"/>
  <c r="P33" i="75" s="1"/>
  <c r="G25" i="75"/>
  <c r="P25" i="75" s="1"/>
  <c r="G147" i="75"/>
  <c r="P147" i="75" s="1"/>
  <c r="G139" i="75"/>
  <c r="P139" i="75" s="1"/>
  <c r="G131" i="75"/>
  <c r="G123" i="75"/>
  <c r="G115" i="75"/>
  <c r="P115" i="75" s="1"/>
  <c r="AB67" i="4"/>
  <c r="AB51" i="4"/>
  <c r="AB30" i="4"/>
  <c r="AB22" i="4"/>
  <c r="G109" i="75"/>
  <c r="G101" i="75"/>
  <c r="G20" i="75"/>
  <c r="P20" i="75" s="1"/>
  <c r="F8" i="5" s="1"/>
  <c r="G80" i="75"/>
  <c r="P80" i="75" s="1"/>
  <c r="G72" i="75"/>
  <c r="G64" i="75"/>
  <c r="P64" i="75" s="1"/>
  <c r="G56" i="75"/>
  <c r="P56" i="75" s="1"/>
  <c r="G48" i="75"/>
  <c r="P48" i="75" s="1"/>
  <c r="G40" i="75"/>
  <c r="G32" i="75"/>
  <c r="G24" i="75"/>
  <c r="P24" i="75" s="1"/>
  <c r="G146" i="75"/>
  <c r="P146" i="75" s="1"/>
  <c r="G138" i="75"/>
  <c r="P138" i="75" s="1"/>
  <c r="G130" i="75"/>
  <c r="P130" i="75" s="1"/>
  <c r="G122" i="75"/>
  <c r="P122" i="75" s="1"/>
  <c r="G114" i="75"/>
  <c r="P114" i="75" s="1"/>
  <c r="AB74" i="4"/>
  <c r="AB58" i="4"/>
  <c r="AB42" i="4"/>
  <c r="AB33" i="4"/>
  <c r="AB25" i="4"/>
  <c r="AB17" i="4"/>
  <c r="AB9" i="4"/>
  <c r="G108" i="75"/>
  <c r="P108" i="75" s="1"/>
  <c r="G100" i="75"/>
  <c r="G87" i="75"/>
  <c r="G79" i="75"/>
  <c r="P79" i="75" s="1"/>
  <c r="G71" i="75"/>
  <c r="P71" i="75" s="1"/>
  <c r="G63" i="75"/>
  <c r="P63" i="75" s="1"/>
  <c r="G55" i="75"/>
  <c r="P55" i="75" s="1"/>
  <c r="G47" i="75"/>
  <c r="P47" i="75" s="1"/>
  <c r="G39" i="75"/>
  <c r="P39" i="75" s="1"/>
  <c r="G31" i="75"/>
  <c r="G23" i="75"/>
  <c r="P23" i="75" s="1"/>
  <c r="G145" i="75"/>
  <c r="G137" i="75"/>
  <c r="P137" i="75" s="1"/>
  <c r="G129" i="75"/>
  <c r="P129" i="75" s="1"/>
  <c r="G121" i="75"/>
  <c r="P121" i="75" s="1"/>
  <c r="G113" i="75"/>
  <c r="P113" i="75" s="1"/>
  <c r="Q64" i="75" l="1"/>
  <c r="G114" i="5" s="1"/>
  <c r="K114" i="5" s="1"/>
  <c r="F114" i="5"/>
  <c r="F54" i="5"/>
  <c r="Q108" i="75"/>
  <c r="G54" i="5" s="1"/>
  <c r="K54" i="5" s="1"/>
  <c r="F121" i="5"/>
  <c r="Q48" i="75"/>
  <c r="G121" i="5" s="1"/>
  <c r="K121" i="5" s="1"/>
  <c r="AE121" i="5" s="1"/>
  <c r="F40" i="5"/>
  <c r="Q147" i="75"/>
  <c r="G40" i="5" s="1"/>
  <c r="K40" i="5" s="1"/>
  <c r="AE40" i="5" s="1"/>
  <c r="Z46" i="5"/>
  <c r="AJ54" i="4"/>
  <c r="AC46" i="5" s="1"/>
  <c r="AD46" i="5" s="1"/>
  <c r="F37" i="5"/>
  <c r="Q34" i="75"/>
  <c r="G37" i="5" s="1"/>
  <c r="K37" i="5" s="1"/>
  <c r="F133" i="5"/>
  <c r="Q117" i="75"/>
  <c r="G133" i="5" s="1"/>
  <c r="K133" i="5" s="1"/>
  <c r="AE133" i="5" s="1"/>
  <c r="F145" i="5"/>
  <c r="Q104" i="75"/>
  <c r="G145" i="5" s="1"/>
  <c r="K145" i="5" s="1"/>
  <c r="F142" i="5"/>
  <c r="Q113" i="75"/>
  <c r="G142" i="5" s="1"/>
  <c r="K142" i="5" s="1"/>
  <c r="F82" i="5"/>
  <c r="Q47" i="75"/>
  <c r="G82" i="5" s="1"/>
  <c r="K82" i="5" s="1"/>
  <c r="Z27" i="5"/>
  <c r="AJ9" i="4"/>
  <c r="AC27" i="5" s="1"/>
  <c r="AD27" i="5" s="1"/>
  <c r="AE27" i="5" s="1"/>
  <c r="Q122" i="75"/>
  <c r="G63" i="5" s="1"/>
  <c r="K63" i="5" s="1"/>
  <c r="AE63" i="5" s="1"/>
  <c r="F63" i="5"/>
  <c r="F76" i="5"/>
  <c r="Q56" i="75"/>
  <c r="G76" i="5" s="1"/>
  <c r="K76" i="5" s="1"/>
  <c r="Z19" i="5"/>
  <c r="AJ30" i="4"/>
  <c r="AC19" i="5" s="1"/>
  <c r="Q25" i="75"/>
  <c r="G7" i="5" s="1"/>
  <c r="K7" i="5" s="1"/>
  <c r="F7" i="5"/>
  <c r="F147" i="5"/>
  <c r="Q102" i="75"/>
  <c r="G147" i="5" s="1"/>
  <c r="K147" i="5" s="1"/>
  <c r="Z44" i="5"/>
  <c r="AJ70" i="4"/>
  <c r="AC44" i="5" s="1"/>
  <c r="AD44" i="5" s="1"/>
  <c r="P42" i="75"/>
  <c r="F65" i="5"/>
  <c r="Q111" i="75"/>
  <c r="G65" i="5" s="1"/>
  <c r="K65" i="5" s="1"/>
  <c r="AE65" i="5" s="1"/>
  <c r="F105" i="5"/>
  <c r="Q125" i="75"/>
  <c r="G105" i="5" s="1"/>
  <c r="K105" i="5" s="1"/>
  <c r="F85" i="5"/>
  <c r="Q59" i="75"/>
  <c r="G85" i="5" s="1"/>
  <c r="K85" i="5" s="1"/>
  <c r="F74" i="5"/>
  <c r="Q94" i="75"/>
  <c r="G74" i="5" s="1"/>
  <c r="K74" i="5" s="1"/>
  <c r="F93" i="5"/>
  <c r="Q36" i="75"/>
  <c r="G93" i="5" s="1"/>
  <c r="K93" i="5" s="1"/>
  <c r="AE93" i="5" s="1"/>
  <c r="F127" i="5"/>
  <c r="Q105" i="75"/>
  <c r="G127" i="5" s="1"/>
  <c r="K127" i="5" s="1"/>
  <c r="AE127" i="5" s="1"/>
  <c r="F47" i="5"/>
  <c r="Q119" i="75"/>
  <c r="G47" i="5" s="1"/>
  <c r="K47" i="5" s="1"/>
  <c r="F109" i="5"/>
  <c r="Q53" i="75"/>
  <c r="G109" i="5" s="1"/>
  <c r="K109" i="5" s="1"/>
  <c r="Z26" i="5"/>
  <c r="AJ15" i="4"/>
  <c r="AC26" i="5" s="1"/>
  <c r="AD26" i="5" s="1"/>
  <c r="AE26" i="5" s="1"/>
  <c r="AJ127" i="4"/>
  <c r="AC120" i="5" s="1"/>
  <c r="Z120" i="5"/>
  <c r="F19" i="5"/>
  <c r="Q30" i="75"/>
  <c r="G19" i="5" s="1"/>
  <c r="K19" i="5" s="1"/>
  <c r="AJ112" i="4"/>
  <c r="AC136" i="5" s="1"/>
  <c r="AD136" i="5" s="1"/>
  <c r="Z136" i="5"/>
  <c r="Z111" i="5"/>
  <c r="AJ131" i="4"/>
  <c r="AC111" i="5" s="1"/>
  <c r="AD111" i="5" s="1"/>
  <c r="AJ135" i="4"/>
  <c r="AC149" i="5" s="1"/>
  <c r="AD149" i="5" s="1"/>
  <c r="Z149" i="5"/>
  <c r="P26" i="3"/>
  <c r="L22" i="5"/>
  <c r="N22" i="5" s="1"/>
  <c r="R22" i="5" s="1"/>
  <c r="L14" i="5"/>
  <c r="N14" i="5" s="1"/>
  <c r="R14" i="5" s="1"/>
  <c r="P7" i="3"/>
  <c r="L104" i="5"/>
  <c r="N104" i="5" s="1"/>
  <c r="R104" i="5" s="1"/>
  <c r="P51" i="3"/>
  <c r="L64" i="5"/>
  <c r="N64" i="5" s="1"/>
  <c r="R64" i="5" s="1"/>
  <c r="P83" i="3"/>
  <c r="P125" i="3"/>
  <c r="L105" i="5"/>
  <c r="N105" i="5" s="1"/>
  <c r="R105" i="5" s="1"/>
  <c r="L93" i="5"/>
  <c r="N93" i="5" s="1"/>
  <c r="R93" i="5" s="1"/>
  <c r="P36" i="3"/>
  <c r="P68" i="3"/>
  <c r="L95" i="5"/>
  <c r="N95" i="5" s="1"/>
  <c r="R95" i="5" s="1"/>
  <c r="P100" i="3"/>
  <c r="L130" i="5"/>
  <c r="N130" i="5" s="1"/>
  <c r="R130" i="5" s="1"/>
  <c r="M49" i="5"/>
  <c r="N49" i="5" s="1"/>
  <c r="R49" i="5" s="1"/>
  <c r="P148" i="3"/>
  <c r="L50" i="5"/>
  <c r="N50" i="5" s="1"/>
  <c r="R50" i="5" s="1"/>
  <c r="P145" i="3"/>
  <c r="U99" i="3"/>
  <c r="AA99" i="3" s="1"/>
  <c r="O88" i="5" s="1"/>
  <c r="Q88" i="5" s="1"/>
  <c r="U78" i="3"/>
  <c r="AA78" i="3" s="1"/>
  <c r="O97" i="5" s="1"/>
  <c r="Q97" i="5" s="1"/>
  <c r="R97" i="5" s="1"/>
  <c r="AJ3" i="4"/>
  <c r="AC31" i="5" s="1"/>
  <c r="AD31" i="5" s="1"/>
  <c r="Z13" i="5"/>
  <c r="AJ17" i="4"/>
  <c r="AC13" i="5" s="1"/>
  <c r="AD13" i="5" s="1"/>
  <c r="AE13" i="5" s="1"/>
  <c r="F125" i="5"/>
  <c r="Q116" i="75"/>
  <c r="G125" i="5" s="1"/>
  <c r="K125" i="5" s="1"/>
  <c r="AE125" i="5" s="1"/>
  <c r="Z33" i="5"/>
  <c r="AJ8" i="4"/>
  <c r="AC33" i="5" s="1"/>
  <c r="AD33" i="5" s="1"/>
  <c r="AE33" i="5" s="1"/>
  <c r="Z22" i="5"/>
  <c r="AJ26" i="4"/>
  <c r="AC22" i="5" s="1"/>
  <c r="AD22" i="5" s="1"/>
  <c r="F123" i="5"/>
  <c r="Q38" i="75"/>
  <c r="G123" i="5" s="1"/>
  <c r="K123" i="5" s="1"/>
  <c r="P40" i="3"/>
  <c r="L122" i="5"/>
  <c r="N122" i="5" s="1"/>
  <c r="R122" i="5" s="1"/>
  <c r="L111" i="5"/>
  <c r="N111" i="5" s="1"/>
  <c r="R111" i="5" s="1"/>
  <c r="P131" i="3"/>
  <c r="F116" i="5"/>
  <c r="Q63" i="75"/>
  <c r="G116" i="5" s="1"/>
  <c r="K116" i="5" s="1"/>
  <c r="P72" i="75"/>
  <c r="F143" i="5"/>
  <c r="Q124" i="75"/>
  <c r="G143" i="5" s="1"/>
  <c r="K143" i="5" s="1"/>
  <c r="F99" i="5"/>
  <c r="Q58" i="75"/>
  <c r="G99" i="5" s="1"/>
  <c r="K99" i="5" s="1"/>
  <c r="Z17" i="5"/>
  <c r="AJ16" i="4"/>
  <c r="AC17" i="5" s="1"/>
  <c r="AD17" i="5" s="1"/>
  <c r="AE17" i="5" s="1"/>
  <c r="F62" i="5"/>
  <c r="Q141" i="75"/>
  <c r="G62" i="5" s="1"/>
  <c r="K62" i="5" s="1"/>
  <c r="F38" i="5"/>
  <c r="Q75" i="75"/>
  <c r="G38" i="5" s="1"/>
  <c r="K38" i="5" s="1"/>
  <c r="Q118" i="75"/>
  <c r="G139" i="5" s="1"/>
  <c r="K139" i="5" s="1"/>
  <c r="AE139" i="5" s="1"/>
  <c r="F139" i="5"/>
  <c r="P52" i="75"/>
  <c r="Z37" i="5"/>
  <c r="AJ34" i="4"/>
  <c r="AC37" i="5" s="1"/>
  <c r="F149" i="5"/>
  <c r="Q135" i="75"/>
  <c r="G149" i="5" s="1"/>
  <c r="K149" i="5" s="1"/>
  <c r="F128" i="5"/>
  <c r="Q69" i="75"/>
  <c r="G128" i="5" s="1"/>
  <c r="K128" i="5" s="1"/>
  <c r="AE128" i="5" s="1"/>
  <c r="AJ31" i="4"/>
  <c r="AC35" i="5" s="1"/>
  <c r="AD35" i="5" s="1"/>
  <c r="Z35" i="5"/>
  <c r="Q46" i="75"/>
  <c r="G106" i="5" s="1"/>
  <c r="K106" i="5" s="1"/>
  <c r="F106" i="5"/>
  <c r="Z47" i="5"/>
  <c r="AJ119" i="4"/>
  <c r="AC47" i="5" s="1"/>
  <c r="Z20" i="5"/>
  <c r="AJ90" i="4"/>
  <c r="AC20" i="5" s="1"/>
  <c r="P23" i="3"/>
  <c r="L21" i="5"/>
  <c r="N21" i="5" s="1"/>
  <c r="R21" i="5" s="1"/>
  <c r="L85" i="5"/>
  <c r="N85" i="5" s="1"/>
  <c r="R85" i="5" s="1"/>
  <c r="P59" i="3"/>
  <c r="L12" i="5"/>
  <c r="N12" i="5" s="1"/>
  <c r="R12" i="5" s="1"/>
  <c r="P91" i="3"/>
  <c r="P147" i="5"/>
  <c r="Q147" i="5" s="1"/>
  <c r="R147" i="5" s="1"/>
  <c r="AH102" i="3"/>
  <c r="P137" i="3"/>
  <c r="M144" i="5"/>
  <c r="N144" i="5" s="1"/>
  <c r="R144" i="5" s="1"/>
  <c r="L81" i="5"/>
  <c r="N81" i="5" s="1"/>
  <c r="R81" i="5" s="1"/>
  <c r="P44" i="3"/>
  <c r="P76" i="3"/>
  <c r="L42" i="5"/>
  <c r="N42" i="5" s="1"/>
  <c r="R42" i="5" s="1"/>
  <c r="P108" i="3"/>
  <c r="L54" i="5"/>
  <c r="N54" i="5" s="1"/>
  <c r="R54" i="5" s="1"/>
  <c r="V14" i="5"/>
  <c r="V7" i="4"/>
  <c r="Y14" i="5" s="1"/>
  <c r="AD14" i="5" s="1"/>
  <c r="AE12" i="5"/>
  <c r="L120" i="5"/>
  <c r="N120" i="5" s="1"/>
  <c r="R120" i="5" s="1"/>
  <c r="P127" i="3"/>
  <c r="V16" i="5"/>
  <c r="V13" i="4"/>
  <c r="Y16" i="5" s="1"/>
  <c r="AD16" i="5" s="1"/>
  <c r="AE16" i="5" s="1"/>
  <c r="V53" i="4"/>
  <c r="Y109" i="5" s="1"/>
  <c r="AD109" i="5" s="1"/>
  <c r="V109" i="5"/>
  <c r="U32" i="3"/>
  <c r="AA32" i="3" s="1"/>
  <c r="O113" i="5" s="1"/>
  <c r="Q113" i="5" s="1"/>
  <c r="T75" i="5"/>
  <c r="J106" i="4"/>
  <c r="U75" i="5" s="1"/>
  <c r="AD75" i="5" s="1"/>
  <c r="T41" i="5"/>
  <c r="J126" i="4"/>
  <c r="U41" i="5" s="1"/>
  <c r="AD41" i="5" s="1"/>
  <c r="U69" i="3"/>
  <c r="AA69" i="3" s="1"/>
  <c r="O128" i="5" s="1"/>
  <c r="Q128" i="5" s="1"/>
  <c r="R128" i="5" s="1"/>
  <c r="AD20" i="5"/>
  <c r="F79" i="5"/>
  <c r="Q110" i="75"/>
  <c r="G79" i="5" s="1"/>
  <c r="K79" i="5" s="1"/>
  <c r="AE79" i="5" s="1"/>
  <c r="F81" i="5"/>
  <c r="Q44" i="75"/>
  <c r="G81" i="5" s="1"/>
  <c r="K81" i="5" s="1"/>
  <c r="Z86" i="5"/>
  <c r="AJ144" i="4"/>
  <c r="AC86" i="5" s="1"/>
  <c r="AD86" i="5" s="1"/>
  <c r="V91" i="5"/>
  <c r="V45" i="4"/>
  <c r="Y91" i="5" s="1"/>
  <c r="AD91" i="5" s="1"/>
  <c r="E59" i="5"/>
  <c r="Q134" i="75"/>
  <c r="G59" i="5" s="1"/>
  <c r="K59" i="5" s="1"/>
  <c r="AE59" i="5" s="1"/>
  <c r="AD57" i="5"/>
  <c r="Q60" i="75"/>
  <c r="G124" i="5" s="1"/>
  <c r="K124" i="5" s="1"/>
  <c r="AE124" i="5" s="1"/>
  <c r="F124" i="5"/>
  <c r="L116" i="5"/>
  <c r="N116" i="5" s="1"/>
  <c r="R116" i="5" s="1"/>
  <c r="P63" i="3"/>
  <c r="W99" i="5"/>
  <c r="V58" i="4"/>
  <c r="Y99" i="5" s="1"/>
  <c r="E91" i="5"/>
  <c r="Q45" i="75"/>
  <c r="G91" i="5" s="1"/>
  <c r="K91" i="5" s="1"/>
  <c r="AE91" i="5" s="1"/>
  <c r="F110" i="5"/>
  <c r="Q130" i="75"/>
  <c r="G110" i="5" s="1"/>
  <c r="K110" i="5" s="1"/>
  <c r="F66" i="5"/>
  <c r="Q50" i="75"/>
  <c r="G66" i="5" s="1"/>
  <c r="K66" i="5" s="1"/>
  <c r="AE66" i="5" s="1"/>
  <c r="Z73" i="5"/>
  <c r="AJ86" i="4"/>
  <c r="AC73" i="5" s="1"/>
  <c r="AD73" i="5" s="1"/>
  <c r="Z21" i="5"/>
  <c r="AJ23" i="4"/>
  <c r="AC21" i="5" s="1"/>
  <c r="AD21" i="5" s="1"/>
  <c r="Z69" i="5"/>
  <c r="AJ140" i="4"/>
  <c r="AC69" i="5" s="1"/>
  <c r="AD69" i="5" s="1"/>
  <c r="L72" i="5"/>
  <c r="N72" i="5" s="1"/>
  <c r="R72" i="5" s="1"/>
  <c r="P87" i="3"/>
  <c r="L145" i="5"/>
  <c r="N145" i="5" s="1"/>
  <c r="R145" i="5" s="1"/>
  <c r="P104" i="3"/>
  <c r="Z7" i="5"/>
  <c r="AJ25" i="4"/>
  <c r="AC7" i="5" s="1"/>
  <c r="AD7" i="5" s="1"/>
  <c r="Z57" i="5"/>
  <c r="AJ67" i="4"/>
  <c r="AC57" i="5" s="1"/>
  <c r="Z24" i="5"/>
  <c r="AJ11" i="4"/>
  <c r="AC24" i="5" s="1"/>
  <c r="AD24" i="5" s="1"/>
  <c r="AE24" i="5" s="1"/>
  <c r="Q146" i="75"/>
  <c r="G48" i="5" s="1"/>
  <c r="K48" i="5" s="1"/>
  <c r="F48" i="5"/>
  <c r="F96" i="5"/>
  <c r="Q49" i="75"/>
  <c r="G96" i="5" s="1"/>
  <c r="K96" i="5" s="1"/>
  <c r="AE96" i="5" s="1"/>
  <c r="P132" i="75"/>
  <c r="F136" i="5"/>
  <c r="Q112" i="75"/>
  <c r="G136" i="5" s="1"/>
  <c r="K136" i="5" s="1"/>
  <c r="AE136" i="5" s="1"/>
  <c r="F53" i="5"/>
  <c r="Q143" i="75"/>
  <c r="G53" i="5" s="1"/>
  <c r="K53" i="5" s="1"/>
  <c r="F137" i="5"/>
  <c r="Q120" i="75"/>
  <c r="G137" i="5" s="1"/>
  <c r="K137" i="5" s="1"/>
  <c r="AE137" i="5" s="1"/>
  <c r="Z62" i="5"/>
  <c r="AJ141" i="4"/>
  <c r="AC62" i="5" s="1"/>
  <c r="AD62" i="5" s="1"/>
  <c r="L129" i="5"/>
  <c r="N129" i="5" s="1"/>
  <c r="R129" i="5" s="1"/>
  <c r="P95" i="3"/>
  <c r="L121" i="5"/>
  <c r="N121" i="5" s="1"/>
  <c r="R121" i="5" s="1"/>
  <c r="P48" i="3"/>
  <c r="Z112" i="5"/>
  <c r="AJ42" i="4"/>
  <c r="AC112" i="5" s="1"/>
  <c r="AD112" i="5" s="1"/>
  <c r="F58" i="5"/>
  <c r="Q57" i="75"/>
  <c r="G58" i="5" s="1"/>
  <c r="K58" i="5" s="1"/>
  <c r="AE58" i="5" s="1"/>
  <c r="P74" i="75"/>
  <c r="Z113" i="5"/>
  <c r="AJ32" i="4"/>
  <c r="AC113" i="5" s="1"/>
  <c r="AD113" i="5" s="1"/>
  <c r="P134" i="75"/>
  <c r="F59" i="5" s="1"/>
  <c r="Q128" i="75"/>
  <c r="G118" i="5" s="1"/>
  <c r="K118" i="5" s="1"/>
  <c r="F118" i="5"/>
  <c r="Z50" i="5"/>
  <c r="AJ145" i="4"/>
  <c r="AC50" i="5" s="1"/>
  <c r="AD50" i="5" s="1"/>
  <c r="P67" i="3"/>
  <c r="L57" i="5"/>
  <c r="N57" i="5" s="1"/>
  <c r="R57" i="5" s="1"/>
  <c r="P52" i="3"/>
  <c r="L89" i="5"/>
  <c r="N89" i="5" s="1"/>
  <c r="R89" i="5" s="1"/>
  <c r="U42" i="3"/>
  <c r="AA42" i="3" s="1"/>
  <c r="O112" i="5" s="1"/>
  <c r="Q112" i="5" s="1"/>
  <c r="R112" i="5" s="1"/>
  <c r="AE20" i="5"/>
  <c r="U30" i="3"/>
  <c r="AA30" i="3" s="1"/>
  <c r="O19" i="5" s="1"/>
  <c r="Q19" i="5" s="1"/>
  <c r="R19" i="5" s="1"/>
  <c r="F98" i="5"/>
  <c r="Q33" i="75"/>
  <c r="G98" i="5" s="1"/>
  <c r="K98" i="5" s="1"/>
  <c r="F57" i="5"/>
  <c r="Q67" i="75"/>
  <c r="G57" i="5" s="1"/>
  <c r="K57" i="5" s="1"/>
  <c r="F103" i="5"/>
  <c r="Q61" i="75"/>
  <c r="G103" i="5" s="1"/>
  <c r="K103" i="5" s="1"/>
  <c r="AE103" i="5" s="1"/>
  <c r="Z141" i="5"/>
  <c r="AJ136" i="4"/>
  <c r="AC141" i="5" s="1"/>
  <c r="AD141" i="5" s="1"/>
  <c r="L126" i="5"/>
  <c r="N126" i="5" s="1"/>
  <c r="R126" i="5" s="1"/>
  <c r="P55" i="3"/>
  <c r="P72" i="3"/>
  <c r="L78" i="5"/>
  <c r="N78" i="5" s="1"/>
  <c r="R78" i="5" s="1"/>
  <c r="P33" i="3"/>
  <c r="M98" i="5"/>
  <c r="N98" i="5" s="1"/>
  <c r="R98" i="5" s="1"/>
  <c r="L142" i="5"/>
  <c r="N142" i="5" s="1"/>
  <c r="R142" i="5" s="1"/>
  <c r="P113" i="3"/>
  <c r="F132" i="5"/>
  <c r="Q129" i="75"/>
  <c r="G132" i="5" s="1"/>
  <c r="K132" i="5" s="1"/>
  <c r="Q41" i="75"/>
  <c r="G60" i="5" s="1"/>
  <c r="K60" i="5" s="1"/>
  <c r="F60" i="5"/>
  <c r="F56" i="5"/>
  <c r="Q71" i="75"/>
  <c r="G56" i="5" s="1"/>
  <c r="K56" i="5" s="1"/>
  <c r="AE56" i="5" s="1"/>
  <c r="F77" i="5"/>
  <c r="Q80" i="75"/>
  <c r="G77" i="5" s="1"/>
  <c r="K77" i="5" s="1"/>
  <c r="F67" i="5"/>
  <c r="Q66" i="75"/>
  <c r="G67" i="5" s="1"/>
  <c r="K67" i="5" s="1"/>
  <c r="AE67" i="5" s="1"/>
  <c r="F64" i="5"/>
  <c r="Q83" i="75"/>
  <c r="G64" i="5" s="1"/>
  <c r="K64" i="5" s="1"/>
  <c r="AE64" i="5" s="1"/>
  <c r="F84" i="5"/>
  <c r="Q77" i="75"/>
  <c r="G84" i="5" s="1"/>
  <c r="K84" i="5" s="1"/>
  <c r="AE84" i="5" s="1"/>
  <c r="M53" i="5"/>
  <c r="N53" i="5" s="1"/>
  <c r="R53" i="5" s="1"/>
  <c r="P143" i="3"/>
  <c r="P80" i="3"/>
  <c r="L77" i="5"/>
  <c r="N77" i="5" s="1"/>
  <c r="R77" i="5" s="1"/>
  <c r="T25" i="5"/>
  <c r="J12" i="4"/>
  <c r="U25" i="5" s="1"/>
  <c r="AD25" i="5" s="1"/>
  <c r="AD19" i="5"/>
  <c r="F92" i="5"/>
  <c r="Q79" i="75"/>
  <c r="G92" i="5" s="1"/>
  <c r="K92" i="5" s="1"/>
  <c r="AE92" i="5" s="1"/>
  <c r="F23" i="5"/>
  <c r="Q24" i="75"/>
  <c r="G23" i="5" s="1"/>
  <c r="K23" i="5" s="1"/>
  <c r="P123" i="75"/>
  <c r="Z5" i="5"/>
  <c r="AJ27" i="4"/>
  <c r="AC5" i="5" s="1"/>
  <c r="AD5" i="5" s="1"/>
  <c r="F5" i="5"/>
  <c r="Q27" i="75"/>
  <c r="G5" i="5" s="1"/>
  <c r="K5" i="5" s="1"/>
  <c r="AE5" i="5" s="1"/>
  <c r="F95" i="5"/>
  <c r="Q68" i="75"/>
  <c r="G95" i="5" s="1"/>
  <c r="K95" i="5" s="1"/>
  <c r="P21" i="75"/>
  <c r="P85" i="75"/>
  <c r="P62" i="75"/>
  <c r="M99" i="5"/>
  <c r="N99" i="5" s="1"/>
  <c r="R99" i="5" s="1"/>
  <c r="P58" i="3"/>
  <c r="P99" i="3"/>
  <c r="L88" i="5"/>
  <c r="N88" i="5" s="1"/>
  <c r="R88" i="5" s="1"/>
  <c r="P4" i="3"/>
  <c r="L34" i="5"/>
  <c r="N34" i="5" s="1"/>
  <c r="R34" i="5" s="1"/>
  <c r="L110" i="5"/>
  <c r="N110" i="5" s="1"/>
  <c r="R110" i="5" s="1"/>
  <c r="P130" i="3"/>
  <c r="W145" i="5"/>
  <c r="V104" i="4"/>
  <c r="Y145" i="5" s="1"/>
  <c r="AD145" i="5" s="1"/>
  <c r="L5" i="5"/>
  <c r="N5" i="5" s="1"/>
  <c r="R5" i="5" s="1"/>
  <c r="P27" i="3"/>
  <c r="P87" i="75"/>
  <c r="P32" i="75"/>
  <c r="P65" i="75"/>
  <c r="P148" i="75"/>
  <c r="F39" i="5"/>
  <c r="Q35" i="75"/>
  <c r="G39" i="5" s="1"/>
  <c r="K39" i="5" s="1"/>
  <c r="P142" i="75"/>
  <c r="P76" i="75"/>
  <c r="Z85" i="5"/>
  <c r="AJ59" i="4"/>
  <c r="AC85" i="5" s="1"/>
  <c r="AD85" i="5" s="1"/>
  <c r="Q29" i="75"/>
  <c r="G4" i="5" s="1"/>
  <c r="K4" i="5" s="1"/>
  <c r="AE4" i="5" s="1"/>
  <c r="F4" i="5"/>
  <c r="P98" i="75"/>
  <c r="Z97" i="5"/>
  <c r="AJ78" i="4"/>
  <c r="AC97" i="5" s="1"/>
  <c r="AD97" i="5" s="1"/>
  <c r="Q136" i="75"/>
  <c r="G141" i="5" s="1"/>
  <c r="K141" i="5" s="1"/>
  <c r="AE141" i="5" s="1"/>
  <c r="F141" i="5"/>
  <c r="F44" i="5"/>
  <c r="Q70" i="75"/>
  <c r="G44" i="5" s="1"/>
  <c r="K44" i="5" s="1"/>
  <c r="F51" i="5"/>
  <c r="Q107" i="75"/>
  <c r="G51" i="5" s="1"/>
  <c r="K51" i="5" s="1"/>
  <c r="Z77" i="5"/>
  <c r="AJ80" i="4"/>
  <c r="AC77" i="5" s="1"/>
  <c r="AD77" i="5" s="1"/>
  <c r="M44" i="5"/>
  <c r="N44" i="5" s="1"/>
  <c r="R44" i="5" s="1"/>
  <c r="P70" i="3"/>
  <c r="L94" i="5"/>
  <c r="N94" i="5" s="1"/>
  <c r="R94" i="5" s="1"/>
  <c r="P39" i="3"/>
  <c r="L56" i="5"/>
  <c r="N56" i="5" s="1"/>
  <c r="R56" i="5" s="1"/>
  <c r="P71" i="3"/>
  <c r="P103" i="3"/>
  <c r="L148" i="5"/>
  <c r="N148" i="5" s="1"/>
  <c r="R148" i="5" s="1"/>
  <c r="L25" i="5"/>
  <c r="N25" i="5" s="1"/>
  <c r="R25" i="5" s="1"/>
  <c r="AE25" i="5" s="1"/>
  <c r="P12" i="3"/>
  <c r="P56" i="3"/>
  <c r="L76" i="5"/>
  <c r="N76" i="5" s="1"/>
  <c r="R76" i="5" s="1"/>
  <c r="L119" i="5"/>
  <c r="N119" i="5" s="1"/>
  <c r="R119" i="5" s="1"/>
  <c r="P88" i="3"/>
  <c r="P138" i="3"/>
  <c r="L101" i="5"/>
  <c r="N101" i="5" s="1"/>
  <c r="R101" i="5" s="1"/>
  <c r="F29" i="5"/>
  <c r="Q19" i="75"/>
  <c r="G29" i="5" s="1"/>
  <c r="K29" i="5" s="1"/>
  <c r="M43" i="5"/>
  <c r="N43" i="5" s="1"/>
  <c r="R43" i="5" s="1"/>
  <c r="P37" i="3"/>
  <c r="T120" i="5"/>
  <c r="J127" i="4"/>
  <c r="U120" i="5" s="1"/>
  <c r="AD120" i="5" s="1"/>
  <c r="AD37" i="5"/>
  <c r="AD148" i="5"/>
  <c r="AD47" i="5"/>
  <c r="F126" i="5"/>
  <c r="Q55" i="75"/>
  <c r="G126" i="5" s="1"/>
  <c r="K126" i="5" s="1"/>
  <c r="AE126" i="5" s="1"/>
  <c r="AJ51" i="4"/>
  <c r="AC104" i="5" s="1"/>
  <c r="AD104" i="5" s="1"/>
  <c r="Z104" i="5"/>
  <c r="F55" i="5"/>
  <c r="Q133" i="75"/>
  <c r="G55" i="5" s="1"/>
  <c r="K55" i="5" s="1"/>
  <c r="AE55" i="5" s="1"/>
  <c r="F120" i="5"/>
  <c r="Q127" i="75"/>
  <c r="G120" i="5" s="1"/>
  <c r="K120" i="5" s="1"/>
  <c r="AE120" i="5" s="1"/>
  <c r="Z61" i="5"/>
  <c r="AJ132" i="4"/>
  <c r="AC61" i="5" s="1"/>
  <c r="AD61" i="5" s="1"/>
  <c r="L26" i="5"/>
  <c r="N26" i="5" s="1"/>
  <c r="R26" i="5" s="1"/>
  <c r="P15" i="3"/>
  <c r="L62" i="5"/>
  <c r="N62" i="5" s="1"/>
  <c r="R62" i="5" s="1"/>
  <c r="P141" i="3"/>
  <c r="F101" i="5"/>
  <c r="Q138" i="75"/>
  <c r="G101" i="5" s="1"/>
  <c r="K101" i="5" s="1"/>
  <c r="AE101" i="5" s="1"/>
  <c r="F144" i="5"/>
  <c r="Q137" i="75"/>
  <c r="G144" i="5" s="1"/>
  <c r="K144" i="5" s="1"/>
  <c r="Z98" i="5"/>
  <c r="AJ33" i="4"/>
  <c r="AC98" i="5" s="1"/>
  <c r="AD98" i="5" s="1"/>
  <c r="F135" i="5"/>
  <c r="Q115" i="75"/>
  <c r="G135" i="5" s="1"/>
  <c r="K135" i="5" s="1"/>
  <c r="AE135" i="5" s="1"/>
  <c r="Z29" i="5"/>
  <c r="AJ19" i="4"/>
  <c r="AC29" i="5" s="1"/>
  <c r="AD29" i="5" s="1"/>
  <c r="Z23" i="5"/>
  <c r="AJ24" i="4"/>
  <c r="AC23" i="5" s="1"/>
  <c r="AD23" i="5" s="1"/>
  <c r="F41" i="5"/>
  <c r="Q126" i="75"/>
  <c r="G41" i="5" s="1"/>
  <c r="K41" i="5" s="1"/>
  <c r="Z43" i="5"/>
  <c r="AJ37" i="4"/>
  <c r="AC43" i="5" s="1"/>
  <c r="AD43" i="5" s="1"/>
  <c r="Z106" i="5"/>
  <c r="AJ46" i="4"/>
  <c r="AC106" i="5" s="1"/>
  <c r="AD106" i="5" s="1"/>
  <c r="P54" i="75"/>
  <c r="Z138" i="5"/>
  <c r="AJ123" i="4"/>
  <c r="AC138" i="5" s="1"/>
  <c r="AD138" i="5" s="1"/>
  <c r="L35" i="5"/>
  <c r="N35" i="5" s="1"/>
  <c r="R35" i="5" s="1"/>
  <c r="P31" i="3"/>
  <c r="P41" i="5"/>
  <c r="Q41" i="5" s="1"/>
  <c r="R41" i="5" s="1"/>
  <c r="AH126" i="3"/>
  <c r="P121" i="3"/>
  <c r="L107" i="5"/>
  <c r="N107" i="5" s="1"/>
  <c r="R107" i="5" s="1"/>
  <c r="L6" i="5"/>
  <c r="N6" i="5" s="1"/>
  <c r="R6" i="5" s="1"/>
  <c r="P28" i="3"/>
  <c r="P145" i="75"/>
  <c r="F69" i="5"/>
  <c r="Q140" i="75"/>
  <c r="G69" i="5" s="1"/>
  <c r="K69" i="5" s="1"/>
  <c r="AE69" i="5" s="1"/>
  <c r="Z108" i="5"/>
  <c r="AJ43" i="4"/>
  <c r="AC108" i="5" s="1"/>
  <c r="AD108" i="5" s="1"/>
  <c r="Z102" i="5"/>
  <c r="AJ62" i="4"/>
  <c r="AC102" i="5" s="1"/>
  <c r="AD102" i="5" s="1"/>
  <c r="Q99" i="75"/>
  <c r="G88" i="5" s="1"/>
  <c r="K88" i="5" s="1"/>
  <c r="F88" i="5"/>
  <c r="L39" i="5"/>
  <c r="N39" i="5" s="1"/>
  <c r="R39" i="5" s="1"/>
  <c r="P35" i="3"/>
  <c r="P84" i="3"/>
  <c r="L117" i="5"/>
  <c r="N117" i="5" s="1"/>
  <c r="R117" i="5" s="1"/>
  <c r="W140" i="5"/>
  <c r="V114" i="4"/>
  <c r="Y140" i="5" s="1"/>
  <c r="AD140" i="5" s="1"/>
  <c r="L143" i="5"/>
  <c r="N143" i="5" s="1"/>
  <c r="R143" i="5" s="1"/>
  <c r="P124" i="3"/>
  <c r="Q23" i="75"/>
  <c r="G21" i="5" s="1"/>
  <c r="K21" i="5" s="1"/>
  <c r="F21" i="5"/>
  <c r="Z99" i="5"/>
  <c r="AJ58" i="4"/>
  <c r="AC99" i="5" s="1"/>
  <c r="P101" i="75"/>
  <c r="P131" i="75"/>
  <c r="Z39" i="5"/>
  <c r="AJ35" i="4"/>
  <c r="AC39" i="5" s="1"/>
  <c r="AD39" i="5" s="1"/>
  <c r="P82" i="75"/>
  <c r="AJ47" i="4"/>
  <c r="AC82" i="5" s="1"/>
  <c r="AD82" i="5" s="1"/>
  <c r="Z82" i="5"/>
  <c r="P31" i="75"/>
  <c r="P100" i="75"/>
  <c r="Z90" i="5"/>
  <c r="AJ74" i="4"/>
  <c r="AC90" i="5" s="1"/>
  <c r="AD90" i="5" s="1"/>
  <c r="P40" i="75"/>
  <c r="P109" i="75"/>
  <c r="F45" i="5"/>
  <c r="Q139" i="75"/>
  <c r="G45" i="5" s="1"/>
  <c r="K45" i="5" s="1"/>
  <c r="AE45" i="5" s="1"/>
  <c r="P73" i="75"/>
  <c r="Z123" i="5"/>
  <c r="AJ38" i="4"/>
  <c r="AC123" i="5" s="1"/>
  <c r="AD123" i="5" s="1"/>
  <c r="P26" i="75"/>
  <c r="F129" i="5"/>
  <c r="Q95" i="75"/>
  <c r="G129" i="5" s="1"/>
  <c r="K129" i="5" s="1"/>
  <c r="AE129" i="5" s="1"/>
  <c r="Z116" i="5"/>
  <c r="AJ63" i="4"/>
  <c r="AC116" i="5" s="1"/>
  <c r="AD116" i="5" s="1"/>
  <c r="F108" i="5"/>
  <c r="Q43" i="75"/>
  <c r="G108" i="5" s="1"/>
  <c r="K108" i="5" s="1"/>
  <c r="P96" i="75"/>
  <c r="P88" i="75"/>
  <c r="P84" i="75"/>
  <c r="Z38" i="5"/>
  <c r="AJ75" i="4"/>
  <c r="AC38" i="5" s="1"/>
  <c r="AD38" i="5" s="1"/>
  <c r="F43" i="5"/>
  <c r="Q37" i="75"/>
  <c r="G43" i="5" s="1"/>
  <c r="K43" i="5" s="1"/>
  <c r="AE43" i="5" s="1"/>
  <c r="P106" i="75"/>
  <c r="Z74" i="5"/>
  <c r="AJ94" i="4"/>
  <c r="AC74" i="5" s="1"/>
  <c r="AD74" i="5" s="1"/>
  <c r="P144" i="75"/>
  <c r="P78" i="75"/>
  <c r="Z134" i="5"/>
  <c r="AJ98" i="4"/>
  <c r="AC134" i="5" s="1"/>
  <c r="AD134" i="5" s="1"/>
  <c r="Z147" i="5"/>
  <c r="AJ102" i="4"/>
  <c r="AC147" i="5" s="1"/>
  <c r="AD147" i="5" s="1"/>
  <c r="L108" i="5"/>
  <c r="N108" i="5" s="1"/>
  <c r="R108" i="5" s="1"/>
  <c r="P43" i="3"/>
  <c r="L38" i="5"/>
  <c r="N38" i="5" s="1"/>
  <c r="R38" i="5" s="1"/>
  <c r="P75" i="3"/>
  <c r="L51" i="5"/>
  <c r="N51" i="5" s="1"/>
  <c r="R51" i="5" s="1"/>
  <c r="P107" i="3"/>
  <c r="L31" i="5"/>
  <c r="N31" i="5" s="1"/>
  <c r="R31" i="5" s="1"/>
  <c r="AE31" i="5" s="1"/>
  <c r="P3" i="3"/>
  <c r="L8" i="5"/>
  <c r="N8" i="5" s="1"/>
  <c r="R8" i="5" s="1"/>
  <c r="P20" i="3"/>
  <c r="L124" i="5"/>
  <c r="N124" i="5" s="1"/>
  <c r="R124" i="5" s="1"/>
  <c r="P60" i="3"/>
  <c r="L11" i="5"/>
  <c r="N11" i="5" s="1"/>
  <c r="P92" i="3"/>
  <c r="P142" i="3"/>
  <c r="L68" i="5"/>
  <c r="N68" i="5" s="1"/>
  <c r="R68" i="5" s="1"/>
  <c r="I34" i="5"/>
  <c r="AA4" i="75"/>
  <c r="J34" i="5" s="1"/>
  <c r="K34" i="5" s="1"/>
  <c r="AE34" i="5" s="1"/>
  <c r="E8" i="5"/>
  <c r="Q20" i="75"/>
  <c r="G8" i="5" s="1"/>
  <c r="K8" i="5" s="1"/>
  <c r="AE8" i="5" s="1"/>
  <c r="V83" i="5"/>
  <c r="V109" i="4"/>
  <c r="Y83" i="5" s="1"/>
  <c r="AD83" i="5" s="1"/>
  <c r="U92" i="3"/>
  <c r="AA92" i="3" s="1"/>
  <c r="O11" i="5" s="1"/>
  <c r="Q11" i="5" s="1"/>
  <c r="U81" i="3"/>
  <c r="AA81" i="3" s="1"/>
  <c r="O70" i="5" s="1"/>
  <c r="Q70" i="5" s="1"/>
  <c r="R70" i="5" s="1"/>
  <c r="U79" i="3"/>
  <c r="AA79" i="3" s="1"/>
  <c r="O92" i="5" s="1"/>
  <c r="Q92" i="5" s="1"/>
  <c r="R46" i="5"/>
  <c r="AH142" i="3"/>
  <c r="F107" i="5"/>
  <c r="Q121" i="75"/>
  <c r="G107" i="5" s="1"/>
  <c r="K107" i="5" s="1"/>
  <c r="F94" i="5"/>
  <c r="Q39" i="75"/>
  <c r="G94" i="5" s="1"/>
  <c r="K94" i="5" s="1"/>
  <c r="AE94" i="5" s="1"/>
  <c r="F140" i="5"/>
  <c r="Q114" i="75"/>
  <c r="G140" i="5" s="1"/>
  <c r="K140" i="5" s="1"/>
  <c r="AE140" i="5" s="1"/>
  <c r="Z52" i="5"/>
  <c r="AJ22" i="4"/>
  <c r="AC52" i="5" s="1"/>
  <c r="AD52" i="5" s="1"/>
  <c r="F70" i="5"/>
  <c r="Q81" i="75"/>
  <c r="G70" i="5" s="1"/>
  <c r="K70" i="5" s="1"/>
  <c r="F148" i="5"/>
  <c r="Q103" i="75"/>
  <c r="G148" i="5" s="1"/>
  <c r="K148" i="5" s="1"/>
  <c r="AE148" i="5" s="1"/>
  <c r="F104" i="5"/>
  <c r="Q51" i="75"/>
  <c r="G104" i="5" s="1"/>
  <c r="K104" i="5" s="1"/>
  <c r="F6" i="5"/>
  <c r="Q28" i="75"/>
  <c r="G6" i="5" s="1"/>
  <c r="K6" i="5" s="1"/>
  <c r="AE6" i="5" s="1"/>
  <c r="Q97" i="75"/>
  <c r="G71" i="5" s="1"/>
  <c r="K71" i="5" s="1"/>
  <c r="AE71" i="5" s="1"/>
  <c r="F71" i="5"/>
  <c r="Z80" i="5"/>
  <c r="AJ82" i="4"/>
  <c r="AC80" i="5" s="1"/>
  <c r="AD80" i="5" s="1"/>
  <c r="Z14" i="5"/>
  <c r="AJ7" i="4"/>
  <c r="AC14" i="5" s="1"/>
  <c r="Z88" i="5"/>
  <c r="AJ99" i="4"/>
  <c r="AC88" i="5" s="1"/>
  <c r="AD88" i="5" s="1"/>
  <c r="Q22" i="75"/>
  <c r="G52" i="5" s="1"/>
  <c r="K52" i="5" s="1"/>
  <c r="AE52" i="5" s="1"/>
  <c r="F52" i="5"/>
  <c r="F73" i="5"/>
  <c r="Q86" i="75"/>
  <c r="G73" i="5" s="1"/>
  <c r="K73" i="5" s="1"/>
  <c r="AE73" i="5" s="1"/>
  <c r="Z148" i="5"/>
  <c r="AJ103" i="4"/>
  <c r="AC148" i="5" s="1"/>
  <c r="Z54" i="5"/>
  <c r="AJ108" i="4"/>
  <c r="AC54" i="5" s="1"/>
  <c r="AD54" i="5" s="1"/>
  <c r="M60" i="5"/>
  <c r="N60" i="5" s="1"/>
  <c r="R60" i="5" s="1"/>
  <c r="P41" i="3"/>
  <c r="L82" i="5"/>
  <c r="N82" i="5" s="1"/>
  <c r="R82" i="5" s="1"/>
  <c r="P47" i="3"/>
  <c r="L92" i="5"/>
  <c r="N92" i="5" s="1"/>
  <c r="R92" i="5" s="1"/>
  <c r="P79" i="3"/>
  <c r="P111" i="3"/>
  <c r="L65" i="5"/>
  <c r="N65" i="5" s="1"/>
  <c r="R65" i="5" s="1"/>
  <c r="L113" i="5"/>
  <c r="N113" i="5" s="1"/>
  <c r="R113" i="5" s="1"/>
  <c r="P32" i="3"/>
  <c r="L114" i="5"/>
  <c r="N114" i="5" s="1"/>
  <c r="R114" i="5" s="1"/>
  <c r="P64" i="3"/>
  <c r="P96" i="3"/>
  <c r="L146" i="5"/>
  <c r="N146" i="5" s="1"/>
  <c r="R146" i="5" s="1"/>
  <c r="P146" i="3"/>
  <c r="L48" i="5"/>
  <c r="N48" i="5" s="1"/>
  <c r="R48" i="5" s="1"/>
  <c r="I94" i="5"/>
  <c r="AA39" i="75"/>
  <c r="J94" i="5" s="1"/>
  <c r="M138" i="5"/>
  <c r="N138" i="5" s="1"/>
  <c r="R138" i="5" s="1"/>
  <c r="P123" i="3"/>
  <c r="T132" i="5"/>
  <c r="J129" i="4"/>
  <c r="U132" i="5" s="1"/>
  <c r="AD132" i="5" s="1"/>
  <c r="V118" i="5"/>
  <c r="V128" i="4"/>
  <c r="Y118" i="5" s="1"/>
  <c r="AD118" i="5" s="1"/>
  <c r="F75" i="5" l="1"/>
  <c r="Q106" i="75"/>
  <c r="G75" i="5" s="1"/>
  <c r="K75" i="5" s="1"/>
  <c r="AE75" i="5" s="1"/>
  <c r="AE108" i="5"/>
  <c r="F130" i="5"/>
  <c r="Q100" i="75"/>
  <c r="G130" i="5" s="1"/>
  <c r="K130" i="5" s="1"/>
  <c r="AE130" i="5" s="1"/>
  <c r="F131" i="5"/>
  <c r="Q101" i="75"/>
  <c r="G131" i="5" s="1"/>
  <c r="K131" i="5" s="1"/>
  <c r="AE131" i="5" s="1"/>
  <c r="F46" i="5"/>
  <c r="Q54" i="75"/>
  <c r="G46" i="5" s="1"/>
  <c r="K46" i="5" s="1"/>
  <c r="AE46" i="5" s="1"/>
  <c r="AE29" i="5"/>
  <c r="F72" i="5"/>
  <c r="Q87" i="75"/>
  <c r="G72" i="5" s="1"/>
  <c r="K72" i="5" s="1"/>
  <c r="AE72" i="5" s="1"/>
  <c r="AE95" i="5"/>
  <c r="AE77" i="5"/>
  <c r="F61" i="5"/>
  <c r="Q132" i="75"/>
  <c r="G61" i="5" s="1"/>
  <c r="K61" i="5" s="1"/>
  <c r="AE61" i="5" s="1"/>
  <c r="AE81" i="5"/>
  <c r="AE116" i="5"/>
  <c r="Q31" i="75"/>
  <c r="G35" i="5" s="1"/>
  <c r="K35" i="5" s="1"/>
  <c r="AE35" i="5" s="1"/>
  <c r="F35" i="5"/>
  <c r="F89" i="5"/>
  <c r="Q52" i="75"/>
  <c r="G89" i="5" s="1"/>
  <c r="K89" i="5" s="1"/>
  <c r="AE89" i="5" s="1"/>
  <c r="AE82" i="5"/>
  <c r="AE37" i="5"/>
  <c r="AE54" i="5"/>
  <c r="F87" i="5"/>
  <c r="Q73" i="75"/>
  <c r="G87" i="5" s="1"/>
  <c r="K87" i="5" s="1"/>
  <c r="AE87" i="5" s="1"/>
  <c r="AE107" i="5"/>
  <c r="AE39" i="5"/>
  <c r="AE118" i="5"/>
  <c r="AD99" i="5"/>
  <c r="AE99" i="5"/>
  <c r="AE109" i="5"/>
  <c r="AE74" i="5"/>
  <c r="Q42" i="75"/>
  <c r="G112" i="5" s="1"/>
  <c r="K112" i="5" s="1"/>
  <c r="AE112" i="5" s="1"/>
  <c r="F112" i="5"/>
  <c r="F42" i="5"/>
  <c r="Q76" i="75"/>
  <c r="G42" i="5" s="1"/>
  <c r="K42" i="5" s="1"/>
  <c r="AE42" i="5" s="1"/>
  <c r="AE70" i="5"/>
  <c r="AE21" i="5"/>
  <c r="AE51" i="5"/>
  <c r="F134" i="5"/>
  <c r="Q98" i="75"/>
  <c r="G134" i="5" s="1"/>
  <c r="K134" i="5" s="1"/>
  <c r="AE134" i="5" s="1"/>
  <c r="AE57" i="5"/>
  <c r="AE53" i="5"/>
  <c r="AE48" i="5"/>
  <c r="AE14" i="5"/>
  <c r="AE76" i="5"/>
  <c r="AE142" i="5"/>
  <c r="AE7" i="5"/>
  <c r="R11" i="5"/>
  <c r="AE11" i="5" s="1"/>
  <c r="F80" i="5"/>
  <c r="Q82" i="75"/>
  <c r="G80" i="5" s="1"/>
  <c r="K80" i="5" s="1"/>
  <c r="AE80" i="5" s="1"/>
  <c r="F117" i="5"/>
  <c r="Q84" i="75"/>
  <c r="G117" i="5" s="1"/>
  <c r="K117" i="5" s="1"/>
  <c r="AE117" i="5" s="1"/>
  <c r="F122" i="5"/>
  <c r="Q40" i="75"/>
  <c r="G122" i="5" s="1"/>
  <c r="K122" i="5" s="1"/>
  <c r="AE122" i="5" s="1"/>
  <c r="Q145" i="75"/>
  <c r="G50" i="5" s="1"/>
  <c r="K50" i="5" s="1"/>
  <c r="AE50" i="5" s="1"/>
  <c r="F50" i="5"/>
  <c r="AE41" i="5"/>
  <c r="F49" i="5"/>
  <c r="Q148" i="75"/>
  <c r="G49" i="5" s="1"/>
  <c r="K49" i="5" s="1"/>
  <c r="AE49" i="5" s="1"/>
  <c r="F102" i="5"/>
  <c r="Q62" i="75"/>
  <c r="G102" i="5" s="1"/>
  <c r="K102" i="5" s="1"/>
  <c r="AE102" i="5" s="1"/>
  <c r="AE60" i="5"/>
  <c r="AE38" i="5"/>
  <c r="AE143" i="5"/>
  <c r="AE19" i="5"/>
  <c r="AE47" i="5"/>
  <c r="AE85" i="5"/>
  <c r="AE114" i="5"/>
  <c r="AE106" i="5"/>
  <c r="Q78" i="75"/>
  <c r="G97" i="5" s="1"/>
  <c r="K97" i="5" s="1"/>
  <c r="AE97" i="5" s="1"/>
  <c r="F97" i="5"/>
  <c r="F83" i="5"/>
  <c r="Q109" i="75"/>
  <c r="G83" i="5" s="1"/>
  <c r="K83" i="5" s="1"/>
  <c r="AE83" i="5" s="1"/>
  <c r="F22" i="5"/>
  <c r="Q26" i="75"/>
  <c r="G22" i="5" s="1"/>
  <c r="K22" i="5" s="1"/>
  <c r="AE22" i="5" s="1"/>
  <c r="AE44" i="5"/>
  <c r="F100" i="5"/>
  <c r="Q65" i="75"/>
  <c r="G100" i="5" s="1"/>
  <c r="K100" i="5" s="1"/>
  <c r="AE100" i="5" s="1"/>
  <c r="F115" i="5"/>
  <c r="Q85" i="75"/>
  <c r="G115" i="5" s="1"/>
  <c r="K115" i="5" s="1"/>
  <c r="AE115" i="5" s="1"/>
  <c r="F138" i="5"/>
  <c r="Q123" i="75"/>
  <c r="G138" i="5" s="1"/>
  <c r="K138" i="5" s="1"/>
  <c r="AE138" i="5" s="1"/>
  <c r="AE132" i="5"/>
  <c r="AE98" i="5"/>
  <c r="AE149" i="5"/>
  <c r="AE123" i="5"/>
  <c r="AE147" i="5"/>
  <c r="AE145" i="5"/>
  <c r="Q142" i="75"/>
  <c r="G68" i="5" s="1"/>
  <c r="K68" i="5" s="1"/>
  <c r="AE68" i="5" s="1"/>
  <c r="F68" i="5"/>
  <c r="Q144" i="75"/>
  <c r="G86" i="5" s="1"/>
  <c r="K86" i="5" s="1"/>
  <c r="AE86" i="5" s="1"/>
  <c r="F86" i="5"/>
  <c r="F119" i="5"/>
  <c r="Q88" i="75"/>
  <c r="G119" i="5" s="1"/>
  <c r="K119" i="5" s="1"/>
  <c r="AE119" i="5" s="1"/>
  <c r="AE88" i="5"/>
  <c r="AE104" i="5"/>
  <c r="F146" i="5"/>
  <c r="Q96" i="75"/>
  <c r="G146" i="5" s="1"/>
  <c r="K146" i="5" s="1"/>
  <c r="AE146" i="5" s="1"/>
  <c r="F111" i="5"/>
  <c r="Q131" i="75"/>
  <c r="G111" i="5" s="1"/>
  <c r="K111" i="5" s="1"/>
  <c r="AE111" i="5" s="1"/>
  <c r="AE144" i="5"/>
  <c r="F113" i="5"/>
  <c r="Q32" i="75"/>
  <c r="G113" i="5" s="1"/>
  <c r="K113" i="5" s="1"/>
  <c r="AE113" i="5" s="1"/>
  <c r="F9" i="5"/>
  <c r="Q21" i="75"/>
  <c r="G9" i="5" s="1"/>
  <c r="K9" i="5" s="1"/>
  <c r="AE9" i="5" s="1"/>
  <c r="AE23" i="5"/>
  <c r="Q74" i="75"/>
  <c r="G90" i="5" s="1"/>
  <c r="K90" i="5" s="1"/>
  <c r="AE90" i="5" s="1"/>
  <c r="F90" i="5"/>
  <c r="AE110" i="5"/>
  <c r="AE62" i="5"/>
  <c r="F78" i="5"/>
  <c r="Q72" i="75"/>
  <c r="G78" i="5" s="1"/>
  <c r="K78" i="5" s="1"/>
  <c r="AE78" i="5" s="1"/>
  <c r="AE105" i="5"/>
</calcChain>
</file>

<file path=xl/comments1.xml><?xml version="1.0" encoding="utf-8"?>
<comments xmlns="http://schemas.openxmlformats.org/spreadsheetml/2006/main">
  <authors>
    <author>Moses Sitati</author>
    <author>djomtzigt</author>
  </authors>
  <commentList>
    <comment ref="H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5"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6"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7"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8"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9"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0"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1"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2"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3"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5"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6"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7"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8"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1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9"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2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20"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2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21" authorId="0" shapeId="0">
      <text>
        <r>
          <rPr>
            <b/>
            <sz val="9"/>
            <color indexed="81"/>
            <rFont val="Tahoma"/>
            <family val="2"/>
          </rPr>
          <t>Moses Sitati:</t>
        </r>
        <r>
          <rPr>
            <sz val="9"/>
            <color indexed="81"/>
            <rFont val="Tahoma"/>
            <family val="2"/>
          </rPr>
          <t xml:space="preserve">
World Bank Estimate, 2010-2014.
Retrieved 2/2/15 from http://data.worldbank.org/indicator/SI.POV.GINI</t>
        </r>
      </text>
    </comment>
    <comment ref="H2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22" authorId="1" shapeId="0">
      <text>
        <r>
          <rPr>
            <b/>
            <sz val="9"/>
            <color indexed="81"/>
            <rFont val="Calibri"/>
            <family val="2"/>
          </rPr>
          <t>djomtzigt:</t>
        </r>
        <r>
          <rPr>
            <sz val="9"/>
            <color indexed="81"/>
            <rFont val="Calibri"/>
            <family val="2"/>
          </rPr>
          <t xml:space="preserve">
DISED 2013
</t>
        </r>
      </text>
    </comment>
    <comment ref="H2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23" authorId="1" shapeId="0">
      <text>
        <r>
          <rPr>
            <b/>
            <sz val="9"/>
            <color indexed="81"/>
            <rFont val="Calibri"/>
            <family val="2"/>
          </rPr>
          <t>djomtzigt:</t>
        </r>
        <r>
          <rPr>
            <sz val="9"/>
            <color indexed="81"/>
            <rFont val="Calibri"/>
            <family val="2"/>
          </rPr>
          <t xml:space="preserve">
DISED 2013
</t>
        </r>
      </text>
    </comment>
    <comment ref="H2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24" authorId="1" shapeId="0">
      <text>
        <r>
          <rPr>
            <b/>
            <sz val="9"/>
            <color indexed="81"/>
            <rFont val="Calibri"/>
            <family val="2"/>
          </rPr>
          <t>djomtzigt:</t>
        </r>
        <r>
          <rPr>
            <sz val="9"/>
            <color indexed="81"/>
            <rFont val="Calibri"/>
            <family val="2"/>
          </rPr>
          <t xml:space="preserve">
DISED 2013
</t>
        </r>
      </text>
    </comment>
    <comment ref="H2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25" authorId="1" shapeId="0">
      <text>
        <r>
          <rPr>
            <b/>
            <sz val="9"/>
            <color indexed="81"/>
            <rFont val="Calibri"/>
            <family val="2"/>
          </rPr>
          <t>djomtzigt:</t>
        </r>
        <r>
          <rPr>
            <sz val="9"/>
            <color indexed="81"/>
            <rFont val="Calibri"/>
            <family val="2"/>
          </rPr>
          <t xml:space="preserve">
DISED 2013
</t>
        </r>
      </text>
    </comment>
    <comment ref="H2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26" authorId="1" shapeId="0">
      <text>
        <r>
          <rPr>
            <b/>
            <sz val="9"/>
            <color indexed="81"/>
            <rFont val="Calibri"/>
            <family val="2"/>
          </rPr>
          <t>djomtzigt:</t>
        </r>
        <r>
          <rPr>
            <sz val="9"/>
            <color indexed="81"/>
            <rFont val="Calibri"/>
            <family val="2"/>
          </rPr>
          <t xml:space="preserve">
DISED 2013
</t>
        </r>
      </text>
    </comment>
    <comment ref="H2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H2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H2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H3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H3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H3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H3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33"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33"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3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34"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34"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3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35"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35"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3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36"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36"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3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37"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37"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3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38"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38"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3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39"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39"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4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40"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40"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4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41"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41"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4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42"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42"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4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K43" authorId="0" shapeId="0">
      <text>
        <r>
          <rPr>
            <b/>
            <sz val="9"/>
            <color indexed="81"/>
            <rFont val="Tahoma"/>
            <family val="2"/>
          </rPr>
          <t>Moses Sitati:</t>
        </r>
        <r>
          <rPr>
            <sz val="9"/>
            <color indexed="81"/>
            <rFont val="Tahoma"/>
            <family val="2"/>
          </rPr>
          <t xml:space="preserve">
Ethiopia Central Statistical Agency, DHIS, 2011.
Retrieved on 31/01/2015 from http://www.usaid.gov/sites/default/files/documents/1860/Demographic%20Health%20Survey%202011%20Ethiopia%20Final%20Report.pdf (Page 40, Table 2.5)</t>
        </r>
      </text>
    </comment>
    <comment ref="AA43" authorId="0" shapeId="0">
      <text>
        <r>
          <rPr>
            <b/>
            <sz val="9"/>
            <color indexed="81"/>
            <rFont val="Tahoma"/>
            <family val="2"/>
          </rPr>
          <t>Moses Sitati:</t>
        </r>
        <r>
          <rPr>
            <sz val="9"/>
            <color indexed="81"/>
            <rFont val="Tahoma"/>
            <family val="2"/>
          </rPr>
          <t xml:space="preserve">
UNHCR Ethiopia Fact Sheet, December 2014.
Retrieved 1/2/15 from http://www.unhcr.org/524d82ce9.html (Pg 5)</t>
        </r>
      </text>
    </comment>
    <comment ref="H4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4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4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44"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http://inequalities.sidint.net/kenya/county/baringo-county/#gini</t>
        </r>
      </text>
    </comment>
    <comment ref="AA44"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4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4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4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45"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http://inequalities.sidint.net/kenya/county/263/#gini</t>
        </r>
      </text>
    </comment>
    <comment ref="AA45"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4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4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4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46"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http://inequalities.sidint.net/kenya/county/bungoma/#gini</t>
        </r>
      </text>
    </comment>
    <comment ref="AA46"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4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4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4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47"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http://inequalities.sidint.net/kenya/county/busia/#gini</t>
        </r>
      </text>
    </comment>
    <comment ref="AA47"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4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4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4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48"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http://inequalities.sidint.net/kenya/county/elgeyo/#gini</t>
        </r>
      </text>
    </comment>
    <comment ref="AA48"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4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4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4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49"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http://inequalities.sidint.net/kenya/county/embu/#gini</t>
        </r>
      </text>
    </comment>
    <comment ref="AA49"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0"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http://inequalities.sidint.net/kenya/county/garissa/#gini</t>
        </r>
      </text>
    </comment>
    <comment ref="AA50"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1"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1"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1"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http://inequalities.sidint.net/kenya/county/homa-bay/#gini</t>
        </r>
      </text>
    </comment>
    <comment ref="AA51"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2"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2"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2"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http://inequalities.sidint.net/kenya/county/isiolo/#gini</t>
        </r>
      </text>
    </comment>
    <comment ref="AA52"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3"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3"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3"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http://inequalities.sidint.net/kenya/county/kajiado/#gini</t>
        </r>
      </text>
    </comment>
    <comment ref="AA53"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4"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http://inequalities.sidint.net/kenya/county/kakamega/#gini</t>
        </r>
      </text>
    </comment>
    <comment ref="AA54"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5"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http://inequalities.sidint.net/kenya/county/kericho/#gini</t>
        </r>
      </text>
    </comment>
    <comment ref="AA55"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6"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http://inequalities.sidint.net/kenya/county/364/#gini</t>
        </r>
      </text>
    </comment>
    <comment ref="AA56"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7"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http://inequalities.sidint.net/kenya/county/kilifi/#gini</t>
        </r>
      </text>
    </comment>
    <comment ref="AA57"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8"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http://inequalities.sidint.net/kenya/county/kirinyaga/#gini</t>
        </r>
      </text>
    </comment>
    <comment ref="AA58"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5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5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5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59"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http://inequalities.sidint.net/kenya/county/kisii/#gini</t>
        </r>
      </text>
    </comment>
    <comment ref="AA59"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0"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http://inequalities.sidint.net/kenya/county/kisumu/#gini</t>
        </r>
      </text>
    </comment>
    <comment ref="AA60"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1"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1"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1"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http://inequalities.sidint.net/kenya/county/kitui/#gini</t>
        </r>
      </text>
    </comment>
    <comment ref="AA61"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2"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2"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2"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http://inequalities.sidint.net/kenya/county/kwale/#gini</t>
        </r>
      </text>
    </comment>
    <comment ref="AA62"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3"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3"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3"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http://inequalities.sidint.net/kenya/county/laikipia/#gini</t>
        </r>
      </text>
    </comment>
    <comment ref="AA63"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4"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http://inequalities.sidint.net/kenya/county/lamu/#gini</t>
        </r>
      </text>
    </comment>
    <comment ref="AA64"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5"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http://inequalities.sidint.net/kenya/county/machakos/#gini</t>
        </r>
      </text>
    </comment>
    <comment ref="AA65"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6"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http://inequalities.sidint.net/kenya/county/makueni/#gini</t>
        </r>
      </text>
    </comment>
    <comment ref="AA66"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7"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http://inequalities.sidint.net/kenya/county/mandera/#gini</t>
        </r>
      </text>
    </comment>
    <comment ref="AA67"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8"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http://inequalities.sidint.net/kenya/county/marsabit/#gini</t>
        </r>
      </text>
    </comment>
    <comment ref="AA68"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6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6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6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69"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http://inequalities.sidint.net/kenya/county/meru/#gini</t>
        </r>
      </text>
    </comment>
    <comment ref="AA69"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0"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http://inequalities.sidint.net/kenya/county/migori/#gini</t>
        </r>
      </text>
    </comment>
    <comment ref="AA70"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1"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1"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1"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http://inequalities.sidint.net/kenya/county/mombasa/#gini</t>
        </r>
      </text>
    </comment>
    <comment ref="AA71"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2"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2"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2"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http://inequalities.sidint.net/kenya/county/muranga-2/#gini</t>
        </r>
      </text>
    </comment>
    <comment ref="AA72"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3"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3"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3"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http://inequalities.sidint.net/kenya/county/nairobi-2/#gini</t>
        </r>
      </text>
    </comment>
    <comment ref="AA73"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4"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http://inequalities.sidint.net/kenya/county/nakuru/#gini</t>
        </r>
      </text>
    </comment>
    <comment ref="AA74"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5"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http://inequalities.sidint.net/kenya/county/nandi/</t>
        </r>
      </text>
    </comment>
    <comment ref="AA75"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6"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http://inequalities.sidint.net/kenya/county/narok/#gini</t>
        </r>
      </text>
    </comment>
    <comment ref="AA76"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7"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http://inequalities.sidint.net/kenya/county/nyamira/#gini</t>
        </r>
      </text>
    </comment>
    <comment ref="AA77"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8"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http://inequalities.sidint.net/kenya/county/nyandarua/</t>
        </r>
      </text>
    </comment>
    <comment ref="AA78"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7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7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7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79"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http://inequalities.sidint.net/kenya/county/nyeri/#gini</t>
        </r>
      </text>
    </comment>
    <comment ref="AA79"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0"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http://inequalities.sidint.net/kenya/county/samburu/#gini</t>
        </r>
      </text>
    </comment>
    <comment ref="AA80"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1"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1"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1"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http://inequalities.sidint.net/kenya/county/siaya/#gini</t>
        </r>
      </text>
    </comment>
    <comment ref="AA81"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2"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2"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2"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http://inequalities.sidint.net/kenya/county/taita-taveta/#gini</t>
        </r>
      </text>
    </comment>
    <comment ref="AA82"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3"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3"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3"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http://inequalities.sidint.net/kenya/county/tana-river/#gini</t>
        </r>
      </text>
    </comment>
    <comment ref="AA83"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4"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http://inequalities.sidint.net/kenya/county/tharaka-nithi/#gini</t>
        </r>
      </text>
    </comment>
    <comment ref="AA84"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5"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http://inequalities.sidint.net/kenya/county/trans-nzoia/#gini</t>
        </r>
      </text>
    </comment>
    <comment ref="AA85"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6"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6"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http://inequalities.sidint.net/kenya/county/turkana/#gini</t>
        </r>
      </text>
    </comment>
    <comment ref="AA86"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7"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7"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http://inequalities.sidint.net/kenya/county/uasin-gishu/#gini</t>
        </r>
      </text>
    </comment>
    <comment ref="AA87"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8"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8"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http://inequalities.sidint.net/kenya/county/vihiga/#gini</t>
        </r>
      </text>
    </comment>
    <comment ref="AA88"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8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8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89"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89"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http://inequalities.sidint.net/kenya/county/wajir/#gini</t>
        </r>
      </text>
    </comment>
    <comment ref="AA89"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9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9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K90"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2.2c. Pg 163)</t>
        </r>
      </text>
    </comment>
    <comment ref="L90" authorId="0" shapeId="0">
      <text>
        <r>
          <rPr>
            <b/>
            <sz val="9"/>
            <color indexed="81"/>
            <rFont val="Tahoma"/>
            <family val="2"/>
          </rPr>
          <t>Moses Sitati:</t>
        </r>
        <r>
          <rPr>
            <sz val="9"/>
            <color indexed="81"/>
            <rFont val="Tahoma"/>
            <family val="2"/>
          </rPr>
          <t xml:space="preserve">
Society for International Development &amp; KNBS, Exploring Kenya's Inequalities, 2013.
- Retrieved on 31/01/2015 from http://inequalities.sidint.net/kenya/county/west-pokot/</t>
        </r>
      </text>
    </comment>
    <comment ref="AA90" authorId="0" shapeId="0">
      <text>
        <r>
          <rPr>
            <b/>
            <sz val="9"/>
            <color indexed="81"/>
            <rFont val="Tahoma"/>
            <family val="2"/>
          </rPr>
          <t>Moses Sitati:</t>
        </r>
        <r>
          <rPr>
            <sz val="9"/>
            <color indexed="81"/>
            <rFont val="Tahoma"/>
            <family val="2"/>
          </rPr>
          <t xml:space="preserve">
UNHCR Kenya Fact Sheet December 2014.
- Retrieved 2/2/15 from http://www.unhcr.org/524d84b99.html (Pg 2)</t>
        </r>
      </text>
    </comment>
    <comment ref="H91" authorId="0" shapeId="0">
      <text>
        <r>
          <rPr>
            <b/>
            <sz val="9"/>
            <color indexed="81"/>
            <rFont val="Tahoma"/>
            <family val="2"/>
          </rPr>
          <t>Moses Sitati:</t>
        </r>
        <r>
          <rPr>
            <sz val="9"/>
            <color indexed="81"/>
            <rFont val="Tahoma"/>
            <family val="2"/>
          </rPr>
          <t xml:space="preserve">
ACLED, All Africa Files, 1997-2014. (Counted as Kibungu sub-region)
Retrieved on 31/01/2015 from http://www.acleddata.com/data/version-5-data-1997-2014/</t>
        </r>
      </text>
    </comment>
    <comment ref="I91"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AA91" authorId="0" shapeId="0">
      <text>
        <r>
          <rPr>
            <b/>
            <sz val="9"/>
            <color indexed="81"/>
            <rFont val="Tahoma"/>
            <family val="2"/>
          </rPr>
          <t>Moses Sitati:</t>
        </r>
        <r>
          <rPr>
            <sz val="9"/>
            <color indexed="81"/>
            <rFont val="Tahoma"/>
            <family val="2"/>
          </rPr>
          <t xml:space="preserve">
UNHCR Rwanda Fact Sheet December 2014.
Retrieved 2/2/15 from http://www.unhcr.org/524d86a69.html (Page 1)</t>
        </r>
      </text>
    </comment>
    <comment ref="H92" authorId="0" shapeId="0">
      <text>
        <r>
          <rPr>
            <b/>
            <sz val="9"/>
            <color indexed="81"/>
            <rFont val="Tahoma"/>
            <family val="2"/>
          </rPr>
          <t>Moses Sitati:</t>
        </r>
        <r>
          <rPr>
            <sz val="9"/>
            <color indexed="81"/>
            <rFont val="Tahoma"/>
            <family val="2"/>
          </rPr>
          <t xml:space="preserve">
ACLED, All Africa Files, 1997-2014.(Counted as Ruhengeri + Byumba sub-region).
Retrieved on 31/01/2015 from http://www.acleddata.com/data/version-5-data-1997-2014/</t>
        </r>
      </text>
    </comment>
    <comment ref="I92"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AA92" authorId="0" shapeId="0">
      <text>
        <r>
          <rPr>
            <b/>
            <sz val="9"/>
            <color indexed="81"/>
            <rFont val="Tahoma"/>
            <family val="2"/>
          </rPr>
          <t>Moses Sitati:</t>
        </r>
        <r>
          <rPr>
            <sz val="9"/>
            <color indexed="81"/>
            <rFont val="Tahoma"/>
            <family val="2"/>
          </rPr>
          <t xml:space="preserve">
UNHCR Rwanda Fact Sheet December 2014.
Retrieved 2/2/15 from http://www.unhcr.org/524d86a69.html (Page 1)</t>
        </r>
      </text>
    </comment>
    <comment ref="H93" authorId="0" shapeId="0">
      <text>
        <r>
          <rPr>
            <b/>
            <sz val="9"/>
            <color indexed="81"/>
            <rFont val="Tahoma"/>
            <family val="2"/>
          </rPr>
          <t>Moses Sitati:</t>
        </r>
        <r>
          <rPr>
            <sz val="9"/>
            <color indexed="81"/>
            <rFont val="Tahoma"/>
            <family val="2"/>
          </rPr>
          <t xml:space="preserve">
ACLED, All Africa Files, 1997-2014.(Counted as Cyanugu + Gisenyi sub-region)
Retrieved on 31/01/2015 from http://www.acleddata.com/data/version-5-data-1997-2014/</t>
        </r>
      </text>
    </comment>
    <comment ref="I93"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AA93" authorId="0" shapeId="0">
      <text>
        <r>
          <rPr>
            <b/>
            <sz val="9"/>
            <color indexed="81"/>
            <rFont val="Tahoma"/>
            <family val="2"/>
          </rPr>
          <t>Moses Sitati:</t>
        </r>
        <r>
          <rPr>
            <sz val="9"/>
            <color indexed="81"/>
            <rFont val="Tahoma"/>
            <family val="2"/>
          </rPr>
          <t xml:space="preserve">
UNHCR Rwanda Fact Sheet December 2014.
Retrieved 2/2/15 from http://www.unhcr.org/524d86a69.html (Page 1)</t>
        </r>
      </text>
    </comment>
    <comment ref="H94" authorId="0" shapeId="0">
      <text>
        <r>
          <rPr>
            <b/>
            <sz val="9"/>
            <color indexed="81"/>
            <rFont val="Tahoma"/>
            <family val="2"/>
          </rPr>
          <t>Moses Sitati:</t>
        </r>
        <r>
          <rPr>
            <sz val="9"/>
            <color indexed="81"/>
            <rFont val="Tahoma"/>
            <family val="2"/>
          </rPr>
          <t xml:space="preserve">
ACLED, All Africa Files, 1997-2014.(Counted as Butare+ Gitarama sub-region).
Retrieved on 31/01/2015 from http://www.acleddata.com/data/version-5-data-1997-2014/</t>
        </r>
      </text>
    </comment>
    <comment ref="I94"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AA94" authorId="0" shapeId="0">
      <text>
        <r>
          <rPr>
            <b/>
            <sz val="9"/>
            <color indexed="81"/>
            <rFont val="Tahoma"/>
            <family val="2"/>
          </rPr>
          <t>Moses Sitati:</t>
        </r>
        <r>
          <rPr>
            <sz val="9"/>
            <color indexed="81"/>
            <rFont val="Tahoma"/>
            <family val="2"/>
          </rPr>
          <t xml:space="preserve">
UNHCR Rwanda Fact Sheet December 2014.
Retrieved 2/2/15 from http://www.unhcr.org/524d86a69.html (Page 1)</t>
        </r>
      </text>
    </comment>
    <comment ref="H9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95" authorId="0" shapeId="0">
      <text>
        <r>
          <rPr>
            <b/>
            <sz val="9"/>
            <color indexed="81"/>
            <rFont val="Tahoma"/>
            <family val="2"/>
          </rPr>
          <t>Moses Sitati:</t>
        </r>
        <r>
          <rPr>
            <sz val="9"/>
            <color indexed="81"/>
            <rFont val="Tahoma"/>
            <family val="2"/>
          </rPr>
          <t xml:space="preserve">
UNDP Kenya, Human Development Report, 2013. 
- Retrieved on 31/01/2015 from http://www.ke.undp.org/content/dam/kenya/docs/SPAU/KNHD%20Report%202013.pdf (Appendix 2.2a. Pg 161)</t>
        </r>
      </text>
    </comment>
    <comment ref="AA95" authorId="0" shapeId="0">
      <text>
        <r>
          <rPr>
            <b/>
            <sz val="9"/>
            <color indexed="81"/>
            <rFont val="Tahoma"/>
            <family val="2"/>
          </rPr>
          <t>Moses Sitati:</t>
        </r>
        <r>
          <rPr>
            <sz val="9"/>
            <color indexed="81"/>
            <rFont val="Tahoma"/>
            <family val="2"/>
          </rPr>
          <t xml:space="preserve">
UNHCR Rwanda Fact Sheet December 2014.
Retrieved 2/2/15 from http://www.unhcr.org/524d86a69.html (Page 1)</t>
        </r>
      </text>
    </comment>
    <comment ref="H9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96"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96" authorId="1" shapeId="0">
      <text>
        <r>
          <rPr>
            <b/>
            <sz val="9"/>
            <color indexed="81"/>
            <rFont val="Arial"/>
            <family val="2"/>
          </rPr>
          <t>djomtzigt:</t>
        </r>
        <r>
          <rPr>
            <sz val="9"/>
            <color indexed="81"/>
            <rFont val="Arial"/>
            <family val="2"/>
          </rPr>
          <t xml:space="preserve">
Source: Somalia Human Development Report 2012</t>
        </r>
      </text>
    </comment>
    <comment ref="K96"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9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97"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97" authorId="1" shapeId="0">
      <text>
        <r>
          <rPr>
            <b/>
            <sz val="9"/>
            <color indexed="81"/>
            <rFont val="Arial"/>
            <family val="2"/>
          </rPr>
          <t>djomtzigt:</t>
        </r>
        <r>
          <rPr>
            <sz val="9"/>
            <color indexed="81"/>
            <rFont val="Arial"/>
            <family val="2"/>
          </rPr>
          <t xml:space="preserve">
Source: Somalia Human Development Report 2012</t>
        </r>
      </text>
    </comment>
    <comment ref="K97"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9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98"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98" authorId="1" shapeId="0">
      <text>
        <r>
          <rPr>
            <b/>
            <sz val="9"/>
            <color indexed="81"/>
            <rFont val="Arial"/>
            <family val="2"/>
          </rPr>
          <t>djomtzigt:</t>
        </r>
        <r>
          <rPr>
            <sz val="9"/>
            <color indexed="81"/>
            <rFont val="Arial"/>
            <family val="2"/>
          </rPr>
          <t xml:space="preserve">
Source: Somalia Human Development Report 2012</t>
        </r>
      </text>
    </comment>
    <comment ref="K98"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9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99"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99" authorId="1" shapeId="0">
      <text>
        <r>
          <rPr>
            <b/>
            <sz val="9"/>
            <color indexed="81"/>
            <rFont val="Arial"/>
            <family val="2"/>
          </rPr>
          <t>djomtzigt:</t>
        </r>
        <r>
          <rPr>
            <sz val="9"/>
            <color indexed="81"/>
            <rFont val="Arial"/>
            <family val="2"/>
          </rPr>
          <t xml:space="preserve">
Source: Somalia Human Development Report 2012</t>
        </r>
      </text>
    </comment>
    <comment ref="K99"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0"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0" authorId="1" shapeId="0">
      <text>
        <r>
          <rPr>
            <b/>
            <sz val="9"/>
            <color indexed="81"/>
            <rFont val="Arial"/>
            <family val="2"/>
          </rPr>
          <t>djomtzigt:</t>
        </r>
        <r>
          <rPr>
            <sz val="9"/>
            <color indexed="81"/>
            <rFont val="Arial"/>
            <family val="2"/>
          </rPr>
          <t xml:space="preserve">
Source: Somalia Human Development Report 2012</t>
        </r>
      </text>
    </comment>
    <comment ref="K100"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1"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1" authorId="1" shapeId="0">
      <text>
        <r>
          <rPr>
            <b/>
            <sz val="9"/>
            <color indexed="81"/>
            <rFont val="Arial"/>
            <family val="2"/>
          </rPr>
          <t>djomtzigt:</t>
        </r>
        <r>
          <rPr>
            <sz val="9"/>
            <color indexed="81"/>
            <rFont val="Arial"/>
            <family val="2"/>
          </rPr>
          <t xml:space="preserve">
Source: Somalia Human Development Report 2012</t>
        </r>
      </text>
    </comment>
    <comment ref="K101"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2"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2" authorId="1" shapeId="0">
      <text>
        <r>
          <rPr>
            <b/>
            <sz val="9"/>
            <color indexed="81"/>
            <rFont val="Arial"/>
            <family val="2"/>
          </rPr>
          <t>djomtzigt:</t>
        </r>
        <r>
          <rPr>
            <sz val="9"/>
            <color indexed="81"/>
            <rFont val="Arial"/>
            <family val="2"/>
          </rPr>
          <t xml:space="preserve">
Source: Somalia Human Development Report 2012</t>
        </r>
      </text>
    </comment>
    <comment ref="K102"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3"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3" authorId="1" shapeId="0">
      <text>
        <r>
          <rPr>
            <b/>
            <sz val="9"/>
            <color indexed="81"/>
            <rFont val="Arial"/>
            <family val="2"/>
          </rPr>
          <t>djomtzigt:</t>
        </r>
        <r>
          <rPr>
            <sz val="9"/>
            <color indexed="81"/>
            <rFont val="Arial"/>
            <family val="2"/>
          </rPr>
          <t xml:space="preserve">
Source: Somalia Human Development Report 2012</t>
        </r>
      </text>
    </comment>
    <comment ref="K103"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4"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4" authorId="1" shapeId="0">
      <text>
        <r>
          <rPr>
            <b/>
            <sz val="9"/>
            <color indexed="81"/>
            <rFont val="Arial"/>
            <family val="2"/>
          </rPr>
          <t>djomtzigt:</t>
        </r>
        <r>
          <rPr>
            <sz val="9"/>
            <color indexed="81"/>
            <rFont val="Arial"/>
            <family val="2"/>
          </rPr>
          <t xml:space="preserve">
Source: Somalia Human Development Report 2012</t>
        </r>
      </text>
    </comment>
    <comment ref="K104"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5"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5" authorId="1" shapeId="0">
      <text>
        <r>
          <rPr>
            <b/>
            <sz val="9"/>
            <color indexed="81"/>
            <rFont val="Arial"/>
            <family val="2"/>
          </rPr>
          <t>djomtzigt:</t>
        </r>
        <r>
          <rPr>
            <sz val="9"/>
            <color indexed="81"/>
            <rFont val="Arial"/>
            <family val="2"/>
          </rPr>
          <t xml:space="preserve">
Source: Somalia Human Development Report 2012</t>
        </r>
      </text>
    </comment>
    <comment ref="K105"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6"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6" authorId="1" shapeId="0">
      <text>
        <r>
          <rPr>
            <b/>
            <sz val="9"/>
            <color indexed="81"/>
            <rFont val="Arial"/>
            <family val="2"/>
          </rPr>
          <t>djomtzigt:</t>
        </r>
        <r>
          <rPr>
            <sz val="9"/>
            <color indexed="81"/>
            <rFont val="Arial"/>
            <family val="2"/>
          </rPr>
          <t xml:space="preserve">
Source: Somalia Human Development Report 2012</t>
        </r>
      </text>
    </comment>
    <comment ref="K106"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7"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7" authorId="1" shapeId="0">
      <text>
        <r>
          <rPr>
            <b/>
            <sz val="9"/>
            <color indexed="81"/>
            <rFont val="Arial"/>
            <family val="2"/>
          </rPr>
          <t>djomtzigt:</t>
        </r>
        <r>
          <rPr>
            <sz val="9"/>
            <color indexed="81"/>
            <rFont val="Arial"/>
            <family val="2"/>
          </rPr>
          <t xml:space="preserve">
Source: Somalia Human Development Report 2012</t>
        </r>
      </text>
    </comment>
    <comment ref="K107"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8"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8" authorId="1" shapeId="0">
      <text>
        <r>
          <rPr>
            <b/>
            <sz val="9"/>
            <color indexed="81"/>
            <rFont val="Arial"/>
            <family val="2"/>
          </rPr>
          <t>djomtzigt:</t>
        </r>
        <r>
          <rPr>
            <sz val="9"/>
            <color indexed="81"/>
            <rFont val="Arial"/>
            <family val="2"/>
          </rPr>
          <t xml:space="preserve">
Source: Somalia Human Development Report 2012</t>
        </r>
      </text>
    </comment>
    <comment ref="K108"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0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09"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09" authorId="1" shapeId="0">
      <text>
        <r>
          <rPr>
            <b/>
            <sz val="9"/>
            <color indexed="81"/>
            <rFont val="Arial"/>
            <family val="2"/>
          </rPr>
          <t>djomtzigt:</t>
        </r>
        <r>
          <rPr>
            <sz val="9"/>
            <color indexed="81"/>
            <rFont val="Arial"/>
            <family val="2"/>
          </rPr>
          <t xml:space="preserve">
Source: Somalia Human Development Report 2012</t>
        </r>
      </text>
    </comment>
    <comment ref="K109"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1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10"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10" authorId="1" shapeId="0">
      <text>
        <r>
          <rPr>
            <b/>
            <sz val="9"/>
            <color indexed="81"/>
            <rFont val="Arial"/>
            <family val="2"/>
          </rPr>
          <t>djomtzigt:</t>
        </r>
        <r>
          <rPr>
            <sz val="9"/>
            <color indexed="81"/>
            <rFont val="Arial"/>
            <family val="2"/>
          </rPr>
          <t xml:space="preserve">
Source: Somalia Human Development Report 2012</t>
        </r>
      </text>
    </comment>
    <comment ref="K110"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1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11"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11" authorId="1" shapeId="0">
      <text>
        <r>
          <rPr>
            <b/>
            <sz val="9"/>
            <color indexed="81"/>
            <rFont val="Arial"/>
            <family val="2"/>
          </rPr>
          <t>djomtzigt:</t>
        </r>
        <r>
          <rPr>
            <sz val="9"/>
            <color indexed="81"/>
            <rFont val="Arial"/>
            <family val="2"/>
          </rPr>
          <t xml:space="preserve">
Source: Somalia Human Development Report 2012</t>
        </r>
      </text>
    </comment>
    <comment ref="K111"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1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12"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12" authorId="1" shapeId="0">
      <text>
        <r>
          <rPr>
            <b/>
            <sz val="9"/>
            <color indexed="81"/>
            <rFont val="Arial"/>
            <family val="2"/>
          </rPr>
          <t>djomtzigt:</t>
        </r>
        <r>
          <rPr>
            <sz val="9"/>
            <color indexed="81"/>
            <rFont val="Arial"/>
            <family val="2"/>
          </rPr>
          <t xml:space="preserve">
Source: Somalia Human Development Report 2012</t>
        </r>
      </text>
    </comment>
    <comment ref="K112"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1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13" authorId="0" shapeId="0">
      <text>
        <r>
          <rPr>
            <b/>
            <sz val="9"/>
            <color indexed="81"/>
            <rFont val="Tahoma"/>
            <family val="2"/>
          </rPr>
          <t>Moses Sitati:</t>
        </r>
        <r>
          <rPr>
            <sz val="9"/>
            <color indexed="81"/>
            <rFont val="Tahoma"/>
            <family val="2"/>
          </rPr>
          <t xml:space="preserve">
UNDP Somalia, Human Development Report 2012.
Retrieved on 1/2/15 from http://www.so.undp.org/content/dam/somalia/docs/MDGs/Somalia%20Human%20Development%20Report%202012.pdf (Pg 207, Table A3.1) </t>
        </r>
      </text>
    </comment>
    <comment ref="J113" authorId="1" shapeId="0">
      <text>
        <r>
          <rPr>
            <b/>
            <sz val="9"/>
            <color indexed="81"/>
            <rFont val="Arial"/>
            <family val="2"/>
          </rPr>
          <t>djomtzigt:</t>
        </r>
        <r>
          <rPr>
            <sz val="9"/>
            <color indexed="81"/>
            <rFont val="Arial"/>
            <family val="2"/>
          </rPr>
          <t xml:space="preserve">
Source: Somalia Human Development Report 2012</t>
        </r>
      </text>
    </comment>
    <comment ref="K113" authorId="0" shapeId="0">
      <text>
        <r>
          <rPr>
            <b/>
            <sz val="9"/>
            <color indexed="81"/>
            <rFont val="Tahoma"/>
            <family val="2"/>
          </rPr>
          <t>Moses Sitati:</t>
        </r>
        <r>
          <rPr>
            <sz val="9"/>
            <color indexed="81"/>
            <rFont val="Tahoma"/>
            <family val="2"/>
          </rPr>
          <t xml:space="preserve">
UNDP Somalia, Somalia Human Development Report 2012.
Retrieved on 1/2/15 from http://www.so.undp.org/content/dam/somalia/docs/MDGs/Somalia%20Human%20Development%20Report%202012.pdf (Pg 209, Table A3.3)</t>
        </r>
      </text>
    </comment>
    <comment ref="H11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14"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14"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1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15"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15"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1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16"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16"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1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17"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17"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1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18"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18"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1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19"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19"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2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20"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20"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2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21"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21"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2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22"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22"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2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Z123" authorId="1" shapeId="0">
      <text>
        <r>
          <rPr>
            <b/>
            <sz val="9"/>
            <color indexed="81"/>
            <rFont val="Calibri"/>
            <family val="2"/>
          </rPr>
          <t>djomtzigt:</t>
        </r>
        <r>
          <rPr>
            <sz val="9"/>
            <color indexed="81"/>
            <rFont val="Calibri"/>
            <family val="2"/>
          </rPr>
          <t xml:space="preserve">
Total no of displaced IDPs (26 Feb 2015)
Source: OCHA South Sudan
</t>
        </r>
      </text>
    </comment>
    <comment ref="AA123" authorId="0" shapeId="0">
      <text>
        <r>
          <rPr>
            <b/>
            <sz val="9"/>
            <color indexed="81"/>
            <rFont val="Tahoma"/>
            <family val="2"/>
          </rPr>
          <t>Moses Sitati:</t>
        </r>
        <r>
          <rPr>
            <sz val="9"/>
            <color indexed="81"/>
            <rFont val="Tahoma"/>
            <family val="2"/>
          </rPr>
          <t xml:space="preserve">
UNHCR, South Sudan Fact Sheet, November 2013.
Retrieved 2/2/15 from http://www.unhcr.org/524d878b9.html (Pg 2)</t>
        </r>
      </text>
    </comment>
    <comment ref="H12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24" authorId="1" shapeId="0">
      <text>
        <r>
          <rPr>
            <b/>
            <sz val="9"/>
            <color indexed="81"/>
            <rFont val="Arial"/>
            <family val="2"/>
          </rPr>
          <t>djomtzigt:</t>
        </r>
        <r>
          <rPr>
            <sz val="9"/>
            <color indexed="81"/>
            <rFont val="Arial"/>
            <family val="2"/>
          </rPr>
          <t xml:space="preserve">
UNDP National Human Development Report 2012</t>
        </r>
      </text>
    </comment>
    <comment ref="AA124"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
**East Sudan data shared equally between Kassala, Gedaref, Al Gazira, Sennar**</t>
        </r>
      </text>
    </comment>
    <comment ref="H12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25" authorId="1" shapeId="0">
      <text>
        <r>
          <rPr>
            <b/>
            <sz val="9"/>
            <color indexed="81"/>
            <rFont val="Arial"/>
            <family val="2"/>
          </rPr>
          <t>djomtzigt:</t>
        </r>
        <r>
          <rPr>
            <sz val="9"/>
            <color indexed="81"/>
            <rFont val="Arial"/>
            <family val="2"/>
          </rPr>
          <t xml:space="preserve">
UNDP National Human Development Report 2012</t>
        </r>
      </text>
    </comment>
    <comment ref="AA125"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t>
        </r>
      </text>
    </comment>
    <comment ref="H12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26" authorId="1" shapeId="0">
      <text>
        <r>
          <rPr>
            <b/>
            <sz val="9"/>
            <color indexed="81"/>
            <rFont val="Arial"/>
            <family val="2"/>
          </rPr>
          <t>djomtzigt:</t>
        </r>
        <r>
          <rPr>
            <sz val="9"/>
            <color indexed="81"/>
            <rFont val="Arial"/>
            <family val="2"/>
          </rPr>
          <t xml:space="preserve">
UNDP National Human Development Report 2012</t>
        </r>
      </text>
    </comment>
    <comment ref="AA126"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
**Darfur data shared equally between North, East, South, Central and West Darfur**</t>
        </r>
      </text>
    </comment>
    <comment ref="H12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27" authorId="1" shapeId="0">
      <text>
        <r>
          <rPr>
            <b/>
            <sz val="9"/>
            <color indexed="81"/>
            <rFont val="Arial"/>
            <family val="2"/>
          </rPr>
          <t>djomtzigt:</t>
        </r>
        <r>
          <rPr>
            <sz val="9"/>
            <color indexed="81"/>
            <rFont val="Arial"/>
            <family val="2"/>
          </rPr>
          <t xml:space="preserve">
UNDP National Human Development Report 2012</t>
        </r>
      </text>
    </comment>
    <comment ref="AA127"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
**Darfur data shared equally between North, East, South, Central and West Darfur**</t>
        </r>
      </text>
    </comment>
    <comment ref="H12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28" authorId="1" shapeId="0">
      <text>
        <r>
          <rPr>
            <b/>
            <sz val="9"/>
            <color indexed="81"/>
            <rFont val="Arial"/>
            <family val="2"/>
          </rPr>
          <t>djomtzigt:</t>
        </r>
        <r>
          <rPr>
            <sz val="9"/>
            <color indexed="81"/>
            <rFont val="Arial"/>
            <family val="2"/>
          </rPr>
          <t xml:space="preserve">
UNDP National Human Development Report 2012</t>
        </r>
      </text>
    </comment>
    <comment ref="AA128"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
**East Sudan data shared equally between Kassala, Gedaref, Al Gazira, Sennar**</t>
        </r>
      </text>
    </comment>
    <comment ref="H12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29" authorId="1" shapeId="0">
      <text>
        <r>
          <rPr>
            <b/>
            <sz val="9"/>
            <color indexed="81"/>
            <rFont val="Arial"/>
            <family val="2"/>
          </rPr>
          <t>djomtzigt:</t>
        </r>
        <r>
          <rPr>
            <sz val="9"/>
            <color indexed="81"/>
            <rFont val="Arial"/>
            <family val="2"/>
          </rPr>
          <t xml:space="preserve">
UNDP National Human Development Report 2012</t>
        </r>
      </text>
    </comment>
    <comment ref="AA129"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
**East Sudan data shared equally between Kassala, Gedaref, Al Gazira, Sennar**</t>
        </r>
      </text>
    </comment>
    <comment ref="H13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0" authorId="1" shapeId="0">
      <text>
        <r>
          <rPr>
            <b/>
            <sz val="9"/>
            <color indexed="81"/>
            <rFont val="Arial"/>
            <family val="2"/>
          </rPr>
          <t>djomtzigt:</t>
        </r>
        <r>
          <rPr>
            <sz val="9"/>
            <color indexed="81"/>
            <rFont val="Arial"/>
            <family val="2"/>
          </rPr>
          <t xml:space="preserve">
UNDP National Human Development Report 2012</t>
        </r>
      </text>
    </comment>
    <comment ref="AA130"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t>
        </r>
      </text>
    </comment>
    <comment ref="H13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1" authorId="1" shapeId="0">
      <text>
        <r>
          <rPr>
            <b/>
            <sz val="9"/>
            <color indexed="81"/>
            <rFont val="Arial"/>
            <family val="2"/>
          </rPr>
          <t>djomtzigt:</t>
        </r>
        <r>
          <rPr>
            <sz val="9"/>
            <color indexed="81"/>
            <rFont val="Arial"/>
            <family val="2"/>
          </rPr>
          <t xml:space="preserve">
UNDP National Human Development Report 2012</t>
        </r>
      </text>
    </comment>
    <comment ref="AA131"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
**Darfur data shared equally between North, East, South, Central and West Darfur**</t>
        </r>
      </text>
    </comment>
    <comment ref="H13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2" authorId="1" shapeId="0">
      <text>
        <r>
          <rPr>
            <b/>
            <sz val="9"/>
            <color indexed="81"/>
            <rFont val="Arial"/>
            <family val="2"/>
          </rPr>
          <t>djomtzigt:</t>
        </r>
        <r>
          <rPr>
            <sz val="9"/>
            <color indexed="81"/>
            <rFont val="Arial"/>
            <family val="2"/>
          </rPr>
          <t xml:space="preserve">
UNDP National Human Development Report 2012</t>
        </r>
      </text>
    </comment>
    <comment ref="AA132"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t>
        </r>
      </text>
    </comment>
    <comment ref="H13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3" authorId="1" shapeId="0">
      <text>
        <r>
          <rPr>
            <b/>
            <sz val="9"/>
            <color indexed="81"/>
            <rFont val="Arial"/>
            <family val="2"/>
          </rPr>
          <t>djomtzigt:</t>
        </r>
        <r>
          <rPr>
            <sz val="9"/>
            <color indexed="81"/>
            <rFont val="Arial"/>
            <family val="2"/>
          </rPr>
          <t xml:space="preserve">
UNDP National Human Development Report 2012</t>
        </r>
      </text>
    </comment>
    <comment ref="AA133"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t>
        </r>
      </text>
    </comment>
    <comment ref="H13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4" authorId="1" shapeId="0">
      <text>
        <r>
          <rPr>
            <b/>
            <sz val="9"/>
            <color indexed="81"/>
            <rFont val="Arial"/>
            <family val="2"/>
          </rPr>
          <t>djomtzigt:</t>
        </r>
        <r>
          <rPr>
            <sz val="9"/>
            <color indexed="81"/>
            <rFont val="Arial"/>
            <family val="2"/>
          </rPr>
          <t xml:space="preserve">
UNDP National Human Development Report 2012</t>
        </r>
      </text>
    </comment>
    <comment ref="AA134"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t>
        </r>
      </text>
    </comment>
    <comment ref="H13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5" authorId="1" shapeId="0">
      <text>
        <r>
          <rPr>
            <b/>
            <sz val="9"/>
            <color indexed="81"/>
            <rFont val="Arial"/>
            <family val="2"/>
          </rPr>
          <t>djomtzigt:</t>
        </r>
        <r>
          <rPr>
            <sz val="9"/>
            <color indexed="81"/>
            <rFont val="Arial"/>
            <family val="2"/>
          </rPr>
          <t xml:space="preserve">
UNDP National Human Development Report 2012</t>
        </r>
      </text>
    </comment>
    <comment ref="AA135"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t>
        </r>
      </text>
    </comment>
    <comment ref="H13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6" authorId="1" shapeId="0">
      <text>
        <r>
          <rPr>
            <b/>
            <sz val="9"/>
            <color indexed="81"/>
            <rFont val="Arial"/>
            <family val="2"/>
          </rPr>
          <t>djomtzigt:</t>
        </r>
        <r>
          <rPr>
            <sz val="9"/>
            <color indexed="81"/>
            <rFont val="Arial"/>
            <family val="2"/>
          </rPr>
          <t xml:space="preserve">
UNDP National Human Development Report 2012</t>
        </r>
      </text>
    </comment>
    <comment ref="AA136"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
**East Sudan data shared equally between Kassala, Gedaref, Al Gazira, Sennar**</t>
        </r>
      </text>
    </comment>
    <comment ref="H13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7" authorId="1" shapeId="0">
      <text>
        <r>
          <rPr>
            <b/>
            <sz val="9"/>
            <color indexed="81"/>
            <rFont val="Arial"/>
            <family val="2"/>
          </rPr>
          <t>djomtzigt:</t>
        </r>
        <r>
          <rPr>
            <sz val="9"/>
            <color indexed="81"/>
            <rFont val="Arial"/>
            <family val="2"/>
          </rPr>
          <t xml:space="preserve">
UNDP National Human Development Report 2012</t>
        </r>
      </text>
    </comment>
    <comment ref="AA137"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
**Darfur data shared equally between North, East, South, Central and West Darfur**</t>
        </r>
      </text>
    </comment>
    <comment ref="H13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8" authorId="1" shapeId="0">
      <text>
        <r>
          <rPr>
            <b/>
            <sz val="9"/>
            <color indexed="81"/>
            <rFont val="Arial"/>
            <family val="2"/>
          </rPr>
          <t>djomtzigt:</t>
        </r>
        <r>
          <rPr>
            <sz val="9"/>
            <color indexed="81"/>
            <rFont val="Arial"/>
            <family val="2"/>
          </rPr>
          <t xml:space="preserve">
UNDP National Human Development Report 2012</t>
        </r>
      </text>
    </comment>
    <comment ref="AA138"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t>
        </r>
      </text>
    </comment>
    <comment ref="H13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39" authorId="1" shapeId="0">
      <text>
        <r>
          <rPr>
            <b/>
            <sz val="9"/>
            <color indexed="81"/>
            <rFont val="Arial"/>
            <family val="2"/>
          </rPr>
          <t>djomtzigt:</t>
        </r>
        <r>
          <rPr>
            <sz val="9"/>
            <color indexed="81"/>
            <rFont val="Arial"/>
            <family val="2"/>
          </rPr>
          <t xml:space="preserve">
UNDP National Human Development Report 2012</t>
        </r>
      </text>
    </comment>
    <comment ref="AA139"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
**Darfur data shared equally between North, East, South, Central and West Darfur**</t>
        </r>
      </text>
    </comment>
    <comment ref="H14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I140" authorId="1" shapeId="0">
      <text>
        <r>
          <rPr>
            <b/>
            <sz val="9"/>
            <color indexed="81"/>
            <rFont val="Arial"/>
            <family val="2"/>
          </rPr>
          <t>djomtzigt:</t>
        </r>
        <r>
          <rPr>
            <sz val="9"/>
            <color indexed="81"/>
            <rFont val="Arial"/>
            <family val="2"/>
          </rPr>
          <t xml:space="preserve">
UNDP National Human Development Report 2012</t>
        </r>
      </text>
    </comment>
    <comment ref="AA140" authorId="0" shapeId="0">
      <text>
        <r>
          <rPr>
            <b/>
            <sz val="9"/>
            <color indexed="81"/>
            <rFont val="Tahoma"/>
            <family val="2"/>
          </rPr>
          <t>Moses Sitati:</t>
        </r>
        <r>
          <rPr>
            <sz val="9"/>
            <color indexed="81"/>
            <rFont val="Tahoma"/>
            <family val="2"/>
          </rPr>
          <t xml:space="preserve">
UNHCR Sudan Country Fact Sheet, September 2014.
- Retrieved 2/2/15 from http://www.unhcr.org/524d87ac9.html (Page 1)</t>
        </r>
      </text>
    </comment>
    <comment ref="H141"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1"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41"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 ref="H142"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2"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42"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 ref="H143"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3"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43"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 ref="H144"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4"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44"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 ref="H145"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5"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45"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 ref="H146"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6"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46"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 ref="H147"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7"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47"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 ref="H148"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8"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48"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 ref="H149"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49"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49"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 ref="H150" authorId="0" shapeId="0">
      <text>
        <r>
          <rPr>
            <b/>
            <sz val="9"/>
            <color indexed="81"/>
            <rFont val="Tahoma"/>
            <family val="2"/>
          </rPr>
          <t>Moses Sitati:</t>
        </r>
        <r>
          <rPr>
            <sz val="9"/>
            <color indexed="81"/>
            <rFont val="Tahoma"/>
            <family val="2"/>
          </rPr>
          <t xml:space="preserve">
ACLED, All Africa Files, 1997-2014.
Retrieved on 31/01/2015 from http://www.acleddata.com/data/version-5-data-1997-2014/</t>
        </r>
      </text>
    </comment>
    <comment ref="L150" authorId="0" shapeId="0">
      <text>
        <r>
          <rPr>
            <b/>
            <sz val="9"/>
            <color indexed="81"/>
            <rFont val="Tahoma"/>
            <family val="2"/>
          </rPr>
          <t>Moses Sitati:</t>
        </r>
        <r>
          <rPr>
            <sz val="9"/>
            <color indexed="81"/>
            <rFont val="Tahoma"/>
            <family val="2"/>
          </rPr>
          <t xml:space="preserve">
Republic of Uganda, Uganda Bureau of Statistics, DHS 2011.
- Retrieved on 1/2/15 from http://dhsprogram.com/pubs/pdf/FR264/FR264.pdf (Pg 39, Table 2.6)</t>
        </r>
      </text>
    </comment>
    <comment ref="AA150" authorId="0" shapeId="0">
      <text>
        <r>
          <rPr>
            <b/>
            <sz val="9"/>
            <color indexed="81"/>
            <rFont val="Tahoma"/>
            <family val="2"/>
          </rPr>
          <t xml:space="preserve">Moses Sitati:
</t>
        </r>
        <r>
          <rPr>
            <sz val="9"/>
            <color indexed="81"/>
            <rFont val="Tahoma"/>
            <family val="2"/>
          </rPr>
          <t>UNHCR, Uganda Factsheet Oct 2014.
Retrieved on 1/2/15 from http://www.unhcr.org/524d880a9.html</t>
        </r>
      </text>
    </comment>
  </commentList>
</comments>
</file>

<file path=xl/comments2.xml><?xml version="1.0" encoding="utf-8"?>
<comments xmlns="http://schemas.openxmlformats.org/spreadsheetml/2006/main">
  <authors>
    <author>djomtzigt</author>
    <author>Luca Vernaccini</author>
  </authors>
  <commentList>
    <comment ref="AW2" authorId="0" shapeId="0">
      <text>
        <r>
          <rPr>
            <b/>
            <sz val="9"/>
            <color indexed="81"/>
            <rFont val="Calibri"/>
            <family val="2"/>
          </rPr>
          <t>djomtzigt:</t>
        </r>
        <r>
          <rPr>
            <sz val="9"/>
            <color indexed="81"/>
            <rFont val="Calibri"/>
            <family val="2"/>
          </rPr>
          <t xml:space="preserve">
need to verify and double check figures
</t>
        </r>
      </text>
    </comment>
    <comment ref="AH5" authorId="0" shapeId="0">
      <text>
        <r>
          <rPr>
            <b/>
            <sz val="9"/>
            <color indexed="81"/>
            <rFont val="Calibri"/>
            <family val="2"/>
          </rPr>
          <t>djomtzigt:</t>
        </r>
        <r>
          <rPr>
            <sz val="9"/>
            <color indexed="81"/>
            <rFont val="Calibri"/>
            <family val="2"/>
          </rPr>
          <t xml:space="preserve">
WB WDI 2013
</t>
        </r>
      </text>
    </comment>
    <comment ref="AI5" authorId="0" shapeId="0">
      <text>
        <r>
          <rPr>
            <b/>
            <sz val="9"/>
            <color indexed="81"/>
            <rFont val="Calibri"/>
            <family val="2"/>
          </rPr>
          <t>djomtzigt:</t>
        </r>
        <r>
          <rPr>
            <sz val="9"/>
            <color indexed="81"/>
            <rFont val="Calibri"/>
            <family val="2"/>
          </rPr>
          <t xml:space="preserve">
WB WDI 2013
</t>
        </r>
      </text>
    </comment>
    <comment ref="BA5" authorId="0" shapeId="0">
      <text>
        <r>
          <rPr>
            <b/>
            <sz val="9"/>
            <color indexed="81"/>
            <rFont val="Calibri"/>
            <family val="2"/>
          </rPr>
          <t>djomtzigt:</t>
        </r>
        <r>
          <rPr>
            <sz val="9"/>
            <color indexed="81"/>
            <rFont val="Calibri"/>
            <family val="2"/>
          </rPr>
          <t xml:space="preserve">
Source: World Bank
http://databank.worldbank.org/Data/Views/VariableSelection/SelectVariables.aspx?source=1228</t>
        </r>
      </text>
    </comment>
    <comment ref="AH6" authorId="0" shapeId="0">
      <text>
        <r>
          <rPr>
            <b/>
            <sz val="9"/>
            <color indexed="81"/>
            <rFont val="Calibri"/>
            <family val="2"/>
          </rPr>
          <t>djomtzigt:</t>
        </r>
        <r>
          <rPr>
            <sz val="9"/>
            <color indexed="81"/>
            <rFont val="Calibri"/>
            <family val="2"/>
          </rPr>
          <t xml:space="preserve">
WB WDI 2013
</t>
        </r>
      </text>
    </comment>
    <comment ref="AI6" authorId="0" shapeId="0">
      <text>
        <r>
          <rPr>
            <b/>
            <sz val="9"/>
            <color indexed="81"/>
            <rFont val="Calibri"/>
            <family val="2"/>
          </rPr>
          <t>djomtzigt:</t>
        </r>
        <r>
          <rPr>
            <sz val="9"/>
            <color indexed="81"/>
            <rFont val="Calibri"/>
            <family val="2"/>
          </rPr>
          <t xml:space="preserve">
WB WDI 2013
</t>
        </r>
      </text>
    </comment>
    <comment ref="AH7" authorId="0" shapeId="0">
      <text>
        <r>
          <rPr>
            <b/>
            <sz val="9"/>
            <color indexed="81"/>
            <rFont val="Calibri"/>
            <family val="2"/>
          </rPr>
          <t>djomtzigt:</t>
        </r>
        <r>
          <rPr>
            <sz val="9"/>
            <color indexed="81"/>
            <rFont val="Calibri"/>
            <family val="2"/>
          </rPr>
          <t xml:space="preserve">
WB WDI 2013
</t>
        </r>
      </text>
    </comment>
    <comment ref="AI7" authorId="0" shapeId="0">
      <text>
        <r>
          <rPr>
            <b/>
            <sz val="9"/>
            <color indexed="81"/>
            <rFont val="Calibri"/>
            <family val="2"/>
          </rPr>
          <t>djomtzigt:</t>
        </r>
        <r>
          <rPr>
            <sz val="9"/>
            <color indexed="81"/>
            <rFont val="Calibri"/>
            <family val="2"/>
          </rPr>
          <t xml:space="preserve">
WB WDI 2013
</t>
        </r>
      </text>
    </comment>
    <comment ref="AH8" authorId="0" shapeId="0">
      <text>
        <r>
          <rPr>
            <b/>
            <sz val="9"/>
            <color indexed="81"/>
            <rFont val="Calibri"/>
            <family val="2"/>
          </rPr>
          <t>djomtzigt:</t>
        </r>
        <r>
          <rPr>
            <sz val="9"/>
            <color indexed="81"/>
            <rFont val="Calibri"/>
            <family val="2"/>
          </rPr>
          <t xml:space="preserve">
WB WDI 2013
</t>
        </r>
      </text>
    </comment>
    <comment ref="AI8" authorId="0" shapeId="0">
      <text>
        <r>
          <rPr>
            <b/>
            <sz val="9"/>
            <color indexed="81"/>
            <rFont val="Calibri"/>
            <family val="2"/>
          </rPr>
          <t>djomtzigt:</t>
        </r>
        <r>
          <rPr>
            <sz val="9"/>
            <color indexed="81"/>
            <rFont val="Calibri"/>
            <family val="2"/>
          </rPr>
          <t xml:space="preserve">
WB WDI 2013
</t>
        </r>
      </text>
    </comment>
    <comment ref="AR8" authorId="0" shapeId="0">
      <text>
        <r>
          <rPr>
            <b/>
            <sz val="9"/>
            <color indexed="81"/>
            <rFont val="Calibri"/>
            <family val="2"/>
          </rPr>
          <t>djomtzigt:</t>
        </r>
        <r>
          <rPr>
            <sz val="9"/>
            <color indexed="81"/>
            <rFont val="Calibri"/>
            <family val="2"/>
          </rPr>
          <t xml:space="preserve">
https://openknowledge.worldbank.org/bitstream/handle/10986/18376/879840WP0FINAL00Box385208B00PUBLIC0.pdf?sequence=1</t>
        </r>
      </text>
    </comment>
    <comment ref="BB8" authorId="1" shapeId="0">
      <text>
        <r>
          <rPr>
            <b/>
            <sz val="9"/>
            <color indexed="81"/>
            <rFont val="Tahoma"/>
            <family val="2"/>
          </rPr>
          <t>Luca Vernaccini:</t>
        </r>
        <r>
          <rPr>
            <sz val="9"/>
            <color indexed="81"/>
            <rFont val="Tahoma"/>
            <family val="2"/>
          </rPr>
          <t xml:space="preserve">
2012</t>
        </r>
      </text>
    </comment>
    <comment ref="AH9" authorId="0" shapeId="0">
      <text>
        <r>
          <rPr>
            <b/>
            <sz val="9"/>
            <color indexed="81"/>
            <rFont val="Calibri"/>
            <family val="2"/>
          </rPr>
          <t>djomtzigt:</t>
        </r>
        <r>
          <rPr>
            <sz val="9"/>
            <color indexed="81"/>
            <rFont val="Calibri"/>
            <family val="2"/>
          </rPr>
          <t xml:space="preserve">
WB WDI 2013
</t>
        </r>
      </text>
    </comment>
    <comment ref="AI9" authorId="0" shapeId="0">
      <text>
        <r>
          <rPr>
            <b/>
            <sz val="9"/>
            <color indexed="81"/>
            <rFont val="Calibri"/>
            <family val="2"/>
          </rPr>
          <t>djomtzigt:</t>
        </r>
        <r>
          <rPr>
            <sz val="9"/>
            <color indexed="81"/>
            <rFont val="Calibri"/>
            <family val="2"/>
          </rPr>
          <t xml:space="preserve">
WB WDI 2013
</t>
        </r>
      </text>
    </comment>
    <comment ref="AR9" authorId="0" shapeId="0">
      <text>
        <r>
          <rPr>
            <b/>
            <sz val="9"/>
            <color indexed="81"/>
            <rFont val="Calibri"/>
            <family val="2"/>
          </rPr>
          <t>djomtzigt:</t>
        </r>
        <r>
          <rPr>
            <sz val="9"/>
            <color indexed="81"/>
            <rFont val="Calibri"/>
            <family val="2"/>
          </rPr>
          <t xml:space="preserve">
https://www.bon.com.na/CMSTemplates/Bon/Files/bon.com.na/ef/ef2da8ea-f64f-4629-be3d-4b7e2e9a4440.pdf
page 6</t>
        </r>
      </text>
    </comment>
    <comment ref="BA9" authorId="0" shapeId="0">
      <text>
        <r>
          <rPr>
            <b/>
            <sz val="9"/>
            <color indexed="81"/>
            <rFont val="Calibri"/>
            <family val="2"/>
          </rPr>
          <t>djomtzigt:</t>
        </r>
        <r>
          <rPr>
            <sz val="9"/>
            <color indexed="81"/>
            <rFont val="Calibri"/>
            <family val="2"/>
          </rPr>
          <t xml:space="preserve">
Source: World Bank
http://databank.worldbank.org/Data/Views/VariableSelection/SelectVariables.aspx?source=1228</t>
        </r>
      </text>
    </comment>
    <comment ref="BB9" authorId="1" shapeId="0">
      <text>
        <r>
          <rPr>
            <b/>
            <sz val="9"/>
            <color indexed="81"/>
            <rFont val="Tahoma"/>
            <family val="2"/>
          </rPr>
          <t>Luca Vernaccini:</t>
        </r>
        <r>
          <rPr>
            <sz val="9"/>
            <color indexed="81"/>
            <rFont val="Tahoma"/>
            <family val="2"/>
          </rPr>
          <t xml:space="preserve">
2012</t>
        </r>
      </text>
    </comment>
    <comment ref="AH10" authorId="0" shapeId="0">
      <text>
        <r>
          <rPr>
            <b/>
            <sz val="9"/>
            <color indexed="81"/>
            <rFont val="Calibri"/>
            <family val="2"/>
          </rPr>
          <t>djomtzigt:</t>
        </r>
        <r>
          <rPr>
            <sz val="9"/>
            <color indexed="81"/>
            <rFont val="Calibri"/>
            <family val="2"/>
          </rPr>
          <t xml:space="preserve">
WB WDI 2013
</t>
        </r>
      </text>
    </comment>
    <comment ref="AI10" authorId="0" shapeId="0">
      <text>
        <r>
          <rPr>
            <b/>
            <sz val="9"/>
            <color indexed="81"/>
            <rFont val="Calibri"/>
            <family val="2"/>
          </rPr>
          <t>djomtzigt:</t>
        </r>
        <r>
          <rPr>
            <sz val="9"/>
            <color indexed="81"/>
            <rFont val="Calibri"/>
            <family val="2"/>
          </rPr>
          <t xml:space="preserve">
WB WDI 2013
</t>
        </r>
      </text>
    </comment>
    <comment ref="AZ10" authorId="0" shapeId="0">
      <text>
        <r>
          <rPr>
            <b/>
            <sz val="9"/>
            <color indexed="81"/>
            <rFont val="Calibri"/>
            <family val="2"/>
          </rPr>
          <t>djomtzigt:</t>
        </r>
        <r>
          <rPr>
            <sz val="9"/>
            <color indexed="81"/>
            <rFont val="Calibri"/>
            <family val="2"/>
          </rPr>
          <t xml:space="preserve">
WB 2005</t>
        </r>
      </text>
    </comment>
    <comment ref="BA10" authorId="0" shapeId="0">
      <text>
        <r>
          <rPr>
            <b/>
            <sz val="9"/>
            <color indexed="81"/>
            <rFont val="Calibri"/>
            <family val="2"/>
          </rPr>
          <t>djomtzigt:</t>
        </r>
        <r>
          <rPr>
            <sz val="9"/>
            <color indexed="81"/>
            <rFont val="Calibri"/>
            <family val="2"/>
          </rPr>
          <t xml:space="preserve">
Source: World Bank
http://databank.worldbank.org/Data/Views/VariableSelection/SelectVariables.aspx?source=1228</t>
        </r>
      </text>
    </comment>
    <comment ref="AH11" authorId="0" shapeId="0">
      <text>
        <r>
          <rPr>
            <b/>
            <sz val="9"/>
            <color indexed="81"/>
            <rFont val="Calibri"/>
            <family val="2"/>
          </rPr>
          <t>djomtzigt:</t>
        </r>
        <r>
          <rPr>
            <sz val="9"/>
            <color indexed="81"/>
            <rFont val="Calibri"/>
            <family val="2"/>
          </rPr>
          <t xml:space="preserve">
WB WDI 2013
</t>
        </r>
      </text>
    </comment>
    <comment ref="AI11" authorId="0" shapeId="0">
      <text>
        <r>
          <rPr>
            <b/>
            <sz val="9"/>
            <color indexed="81"/>
            <rFont val="Calibri"/>
            <family val="2"/>
          </rPr>
          <t>djomtzigt:</t>
        </r>
        <r>
          <rPr>
            <sz val="9"/>
            <color indexed="81"/>
            <rFont val="Calibri"/>
            <family val="2"/>
          </rPr>
          <t xml:space="preserve">
WB WDI 2013
</t>
        </r>
      </text>
    </comment>
    <comment ref="AR11" authorId="0" shapeId="0">
      <text>
        <r>
          <rPr>
            <b/>
            <sz val="9"/>
            <color indexed="81"/>
            <rFont val="Calibri"/>
            <family val="2"/>
          </rPr>
          <t xml:space="preserve">djomtzigt:
780K covered by FAO Public Works programme
</t>
        </r>
        <r>
          <rPr>
            <sz val="9"/>
            <color indexed="81"/>
            <rFont val="Calibri"/>
            <family val="2"/>
          </rPr>
          <t xml:space="preserve">
https://openknowledge.worldbank.org/bitstream/handle/10986/18376/879840WP0FINAL00Box385208B00PUBLIC0.pdf?sequence=1</t>
        </r>
      </text>
    </comment>
    <comment ref="AZ11" authorId="0" shapeId="0">
      <text>
        <r>
          <rPr>
            <b/>
            <sz val="9"/>
            <color indexed="81"/>
            <rFont val="Calibri"/>
            <family val="2"/>
          </rPr>
          <t>djomtzigt:</t>
        </r>
        <r>
          <rPr>
            <sz val="9"/>
            <color indexed="81"/>
            <rFont val="Calibri"/>
            <family val="2"/>
          </rPr>
          <t xml:space="preserve">
WB data for 2007 to 2011</t>
        </r>
      </text>
    </comment>
    <comment ref="BA11" authorId="0" shapeId="0">
      <text>
        <r>
          <rPr>
            <b/>
            <sz val="9"/>
            <color indexed="81"/>
            <rFont val="Calibri"/>
            <family val="2"/>
          </rPr>
          <t>djomtzigt:</t>
        </r>
        <r>
          <rPr>
            <sz val="9"/>
            <color indexed="81"/>
            <rFont val="Calibri"/>
            <family val="2"/>
          </rPr>
          <t xml:space="preserve">
Source: World Bank
http://databank.worldbank.org/Data/Views/VariableSelection/SelectVariables.aspx?source=1228</t>
        </r>
      </text>
    </comment>
    <comment ref="BB11" authorId="0" shapeId="0">
      <text>
        <r>
          <rPr>
            <b/>
            <sz val="9"/>
            <color indexed="81"/>
            <rFont val="Calibri"/>
            <family val="2"/>
          </rPr>
          <t>djomtzigt:</t>
        </r>
        <r>
          <rPr>
            <sz val="9"/>
            <color indexed="81"/>
            <rFont val="Calibri"/>
            <family val="2"/>
          </rPr>
          <t xml:space="preserve">
remittances to Somlalia are estimated to be at least $1.2 bn. See http://reliefweb.int/sites/reliefweb.int/files/resources/Family%20Ties%20Remittances%20and%20Livelihoods%20Support%20in%20Puntland%20and%20Somaliland.pdf
According to the AfDB The country’s GDP was estimated at USD 5.8 billion in 2010 (the last year for which official figures are available.
We therefore use a remittance rate of 20%
 of GDP</t>
        </r>
      </text>
    </comment>
    <comment ref="Q12" authorId="0" shapeId="0">
      <text>
        <r>
          <rPr>
            <b/>
            <sz val="9"/>
            <color indexed="81"/>
            <rFont val="Calibri"/>
            <family val="2"/>
          </rPr>
          <t>djomtzigt:</t>
        </r>
        <r>
          <rPr>
            <sz val="9"/>
            <color indexed="81"/>
            <rFont val="Calibri"/>
            <family val="2"/>
          </rPr>
          <t xml:space="preserve">
Source WHO</t>
        </r>
      </text>
    </comment>
    <comment ref="AH12" authorId="0" shapeId="0">
      <text>
        <r>
          <rPr>
            <b/>
            <sz val="9"/>
            <color indexed="81"/>
            <rFont val="Calibri"/>
            <family val="2"/>
          </rPr>
          <t>djomtzigt:</t>
        </r>
        <r>
          <rPr>
            <sz val="9"/>
            <color indexed="81"/>
            <rFont val="Calibri"/>
            <family val="2"/>
          </rPr>
          <t xml:space="preserve">
WB WDI 2013
</t>
        </r>
      </text>
    </comment>
    <comment ref="AI12" authorId="0" shapeId="0">
      <text>
        <r>
          <rPr>
            <b/>
            <sz val="9"/>
            <color indexed="81"/>
            <rFont val="Calibri"/>
            <family val="2"/>
          </rPr>
          <t>djomtzigt:</t>
        </r>
        <r>
          <rPr>
            <sz val="9"/>
            <color indexed="81"/>
            <rFont val="Calibri"/>
            <family val="2"/>
          </rPr>
          <t xml:space="preserve">
WB WDI 2013
</t>
        </r>
      </text>
    </comment>
    <comment ref="AQ12" authorId="0" shapeId="0">
      <text>
        <r>
          <rPr>
            <b/>
            <sz val="9"/>
            <color indexed="81"/>
            <rFont val="Calibri"/>
            <family val="2"/>
          </rPr>
          <t>djomtzigt:</t>
        </r>
        <r>
          <rPr>
            <sz val="9"/>
            <color indexed="81"/>
            <rFont val="Calibri"/>
            <family val="2"/>
          </rPr>
          <t xml:space="preserve">
estimated at 400 km of paved roads over 619,745 km2</t>
        </r>
      </text>
    </comment>
    <comment ref="AR12" authorId="0" shapeId="0">
      <text>
        <r>
          <rPr>
            <b/>
            <sz val="9"/>
            <color indexed="81"/>
            <rFont val="Calibri"/>
            <family val="2"/>
          </rPr>
          <t>djomtzigt:</t>
        </r>
        <r>
          <rPr>
            <sz val="9"/>
            <color indexed="81"/>
            <rFont val="Calibri"/>
            <family val="2"/>
          </rPr>
          <t xml:space="preserve">
http://www.hks.harvard.edu/~hepg/index.php/content/download/66877/1240318/version/1/file/SYPA_Bruni_Eddy_2012.pdf</t>
        </r>
      </text>
    </comment>
    <comment ref="AT12" authorId="0" shapeId="0">
      <text>
        <r>
          <rPr>
            <b/>
            <sz val="9"/>
            <color indexed="81"/>
            <rFont val="Calibri"/>
            <family val="2"/>
          </rPr>
          <t>djomtzigt:</t>
        </r>
        <r>
          <rPr>
            <sz val="9"/>
            <color indexed="81"/>
            <rFont val="Calibri"/>
            <family val="2"/>
          </rPr>
          <t xml:space="preserve">
http://www.afdb.org/fileadmin/uploads/afdb/Documents/Publications/Africa%20Economic%20Brief%20-%20Poverty%20Situation%20and%20Prospects%20in%20South%20Sudan.pdf</t>
        </r>
      </text>
    </comment>
    <comment ref="AZ12" authorId="0" shapeId="0">
      <text>
        <r>
          <rPr>
            <b/>
            <sz val="9"/>
            <color indexed="81"/>
            <rFont val="Calibri"/>
            <family val="2"/>
          </rPr>
          <t>djomtzigt:</t>
        </r>
        <r>
          <rPr>
            <sz val="9"/>
            <color indexed="81"/>
            <rFont val="Calibri"/>
            <family val="2"/>
          </rPr>
          <t xml:space="preserve">
IMF article IV consultation December 2014. Figure prj. 2013/2014
http://www.imf.org/external/np/sec/pr/2014/pr14580.htm</t>
        </r>
      </text>
    </comment>
    <comment ref="BA12" authorId="0" shapeId="0">
      <text>
        <r>
          <rPr>
            <b/>
            <sz val="9"/>
            <color indexed="81"/>
            <rFont val="Calibri"/>
            <family val="2"/>
          </rPr>
          <t>djomtzigt:</t>
        </r>
        <r>
          <rPr>
            <sz val="9"/>
            <color indexed="81"/>
            <rFont val="Calibri"/>
            <family val="2"/>
          </rPr>
          <t xml:space="preserve">
According to the IFC as of 2012 there was no mobile money operator is South Sudan</t>
        </r>
      </text>
    </comment>
    <comment ref="AH13" authorId="0" shapeId="0">
      <text>
        <r>
          <rPr>
            <b/>
            <sz val="9"/>
            <color indexed="81"/>
            <rFont val="Calibri"/>
            <family val="2"/>
          </rPr>
          <t>djomtzigt:</t>
        </r>
        <r>
          <rPr>
            <sz val="9"/>
            <color indexed="81"/>
            <rFont val="Calibri"/>
            <family val="2"/>
          </rPr>
          <t xml:space="preserve">
WB WDI 2013
</t>
        </r>
      </text>
    </comment>
    <comment ref="AI13" authorId="0" shapeId="0">
      <text>
        <r>
          <rPr>
            <b/>
            <sz val="9"/>
            <color indexed="81"/>
            <rFont val="Calibri"/>
            <family val="2"/>
          </rPr>
          <t>djomtzigt:</t>
        </r>
        <r>
          <rPr>
            <sz val="9"/>
            <color indexed="81"/>
            <rFont val="Calibri"/>
            <family val="2"/>
          </rPr>
          <t xml:space="preserve">
WB WDI 2013
</t>
        </r>
      </text>
    </comment>
    <comment ref="BA13" authorId="0" shapeId="0">
      <text>
        <r>
          <rPr>
            <b/>
            <sz val="9"/>
            <color indexed="81"/>
            <rFont val="Calibri"/>
            <family val="2"/>
          </rPr>
          <t>djomtzigt:</t>
        </r>
        <r>
          <rPr>
            <sz val="9"/>
            <color indexed="81"/>
            <rFont val="Calibri"/>
            <family val="2"/>
          </rPr>
          <t xml:space="preserve">
Source: World Bank
http://databank.worldbank.org/Data/Views/VariableSelection/SelectVariables.aspx?source=1228</t>
        </r>
      </text>
    </comment>
    <comment ref="AH14" authorId="0" shapeId="0">
      <text>
        <r>
          <rPr>
            <b/>
            <sz val="9"/>
            <color indexed="81"/>
            <rFont val="Calibri"/>
            <family val="2"/>
          </rPr>
          <t>djomtzigt:</t>
        </r>
        <r>
          <rPr>
            <sz val="9"/>
            <color indexed="81"/>
            <rFont val="Calibri"/>
            <family val="2"/>
          </rPr>
          <t xml:space="preserve">
WB WDI 2013
</t>
        </r>
      </text>
    </comment>
    <comment ref="AI14" authorId="0" shapeId="0">
      <text>
        <r>
          <rPr>
            <b/>
            <sz val="9"/>
            <color indexed="81"/>
            <rFont val="Calibri"/>
            <family val="2"/>
          </rPr>
          <t>djomtzigt:</t>
        </r>
        <r>
          <rPr>
            <sz val="9"/>
            <color indexed="81"/>
            <rFont val="Calibri"/>
            <family val="2"/>
          </rPr>
          <t xml:space="preserve">
WB WDI 2013
</t>
        </r>
      </text>
    </comment>
    <comment ref="AR14" authorId="0" shapeId="0">
      <text>
        <r>
          <rPr>
            <b/>
            <sz val="9"/>
            <color indexed="81"/>
            <rFont val="Calibri"/>
            <family val="2"/>
          </rPr>
          <t>djomtzigt:</t>
        </r>
        <r>
          <rPr>
            <sz val="9"/>
            <color indexed="81"/>
            <rFont val="Calibri"/>
            <family val="2"/>
          </rPr>
          <t xml:space="preserve">
http://databank.worldbank.org/data/views/reports/tableview.aspx?isshared=true
IMF estimates coverage is 4.3%
http://www.imf.org/external/country/UGA/rr/2014/103014.pdf</t>
        </r>
      </text>
    </comment>
    <comment ref="BA14" authorId="0" shapeId="0">
      <text>
        <r>
          <rPr>
            <b/>
            <sz val="9"/>
            <color indexed="81"/>
            <rFont val="Calibri"/>
            <family val="2"/>
          </rPr>
          <t>djomtzigt:</t>
        </r>
        <r>
          <rPr>
            <sz val="9"/>
            <color indexed="81"/>
            <rFont val="Calibri"/>
            <family val="2"/>
          </rPr>
          <t xml:space="preserve">
Source: World Bank
http://databank.worldbank.org/Data/Views/VariableSelection/SelectVariables.aspx?source=1228</t>
        </r>
      </text>
    </comment>
  </commentList>
</comments>
</file>

<file path=xl/connections.xml><?xml version="1.0" encoding="utf-8"?>
<connections xmlns="http://schemas.openxmlformats.org/spreadsheetml/2006/main">
  <connection id="1" name="2012.06.11 - GFM Indicator List1" type="6" refreshedVersion="4" deleted="1" background="1" saveData="1">
    <textPr prompt="0"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<sst xmlns="http://schemas.openxmlformats.org/spreadsheetml/2006/main" count="3761" uniqueCount="771">
  <si>
    <t>ISO3</t>
  </si>
  <si>
    <t>Child Mortality</t>
  </si>
  <si>
    <t>Government Effectiveness</t>
  </si>
  <si>
    <t>Adult literacy rate</t>
  </si>
  <si>
    <t>Access to electricity</t>
  </si>
  <si>
    <t>Internet users</t>
  </si>
  <si>
    <t>Mobile cellular subscriptions</t>
  </si>
  <si>
    <t>Population</t>
  </si>
  <si>
    <t>Natural</t>
  </si>
  <si>
    <t>Human</t>
  </si>
  <si>
    <t>Institutional</t>
  </si>
  <si>
    <t>Infrastructure</t>
  </si>
  <si>
    <t>HAZARD</t>
  </si>
  <si>
    <t>VULNERABILITY</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</si>
  <si>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</si>
  <si>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</si>
  <si>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</si>
  <si>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</si>
  <si>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</si>
  <si>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</si>
  <si>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</si>
  <si>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</si>
  <si>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</si>
  <si>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</si>
  <si>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Iso3</t>
  </si>
  <si>
    <t>U5 Under weight</t>
  </si>
  <si>
    <t>Returned Refugees</t>
  </si>
  <si>
    <t>Uprooted people</t>
  </si>
  <si>
    <t>Inequality</t>
  </si>
  <si>
    <t>Gini Index</t>
  </si>
  <si>
    <t>Estimated number of people living with HIV - Adult (&gt;15) rate</t>
  </si>
  <si>
    <t>Tuberculosis prevalence</t>
  </si>
  <si>
    <t>Malaria mortality rate</t>
  </si>
  <si>
    <t>Corruption Perception Index</t>
  </si>
  <si>
    <t>Food Security</t>
  </si>
  <si>
    <t>Vulnerable Groups</t>
  </si>
  <si>
    <t>DRR</t>
  </si>
  <si>
    <t>Governance</t>
  </si>
  <si>
    <t>Access to health care</t>
  </si>
  <si>
    <t>RISK</t>
  </si>
  <si>
    <t>Other Vulnerable Groups</t>
  </si>
  <si>
    <t>Natural Disasters % of total pop</t>
  </si>
  <si>
    <t>Development &amp; Deprivation</t>
  </si>
  <si>
    <t>Total affected by Natural Disasters last 3 years</t>
  </si>
  <si>
    <t>Adult liteacy rate</t>
  </si>
  <si>
    <t>2005-12</t>
  </si>
  <si>
    <t>Conflict Barometer</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</si>
  <si>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</si>
  <si>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</si>
  <si>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</si>
  <si>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</si>
  <si>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</si>
  <si>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</si>
  <si>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</si>
  <si>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Unit of Measurament</t>
  </si>
  <si>
    <t>Number</t>
  </si>
  <si>
    <t>Index</t>
  </si>
  <si>
    <t>Physical exposure to flood (absolute)</t>
  </si>
  <si>
    <t>Physical exposure to flood (relative)</t>
  </si>
  <si>
    <t>Physical exposure to flood</t>
  </si>
  <si>
    <t>Conflict Intensity</t>
  </si>
  <si>
    <t>Regime Stability</t>
  </si>
  <si>
    <t>Conflict Intensity &amp; Regime Stability</t>
  </si>
  <si>
    <t>Table of Contents</t>
  </si>
  <si>
    <t>InfoRM Vulnerable Groups</t>
  </si>
  <si>
    <t>Hazard &amp; Exposure</t>
  </si>
  <si>
    <t>Calculation table for the Hazard &amp; Exposure component</t>
  </si>
  <si>
    <t>Lack of Coping Capacity</t>
  </si>
  <si>
    <t>%</t>
  </si>
  <si>
    <t>Phisicians Density</t>
  </si>
  <si>
    <t>per 10,000 people</t>
  </si>
  <si>
    <t>per 100,000 people</t>
  </si>
  <si>
    <t>per 1,000 live births</t>
  </si>
  <si>
    <t>Malaria death rate</t>
  </si>
  <si>
    <t>Phisycians Density</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</si>
  <si>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</si>
  <si>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</si>
  <si>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</si>
  <si>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</si>
  <si>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</si>
  <si>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</si>
  <si>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</si>
  <si>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</si>
  <si>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per 1,000 people</t>
  </si>
  <si>
    <t>GDP per capita PPP int USD</t>
  </si>
  <si>
    <t>Survey Year</t>
  </si>
  <si>
    <t>InfoRM Socio-Economic Vulnerability</t>
  </si>
  <si>
    <t>Socio-Economic Vulnerability</t>
  </si>
  <si>
    <t>CONCEPT AND METHODOLOGY</t>
  </si>
  <si>
    <r>
      <rPr>
        <b/>
        <i/>
        <sz val="10"/>
        <color theme="1"/>
        <rFont val="Calibri"/>
        <family val="2"/>
        <scheme val="minor"/>
      </rPr>
      <t>Disclaimer</t>
    </r>
    <r>
      <rPr>
        <i/>
        <sz val="10"/>
        <color theme="1"/>
        <rFont val="Calibri"/>
        <family val="2"/>
        <scheme val="minor"/>
      </rPr>
      <t xml:space="preserve">
The depiction and use of geographic names and related data included in lists, tables on this spreadsheet are not warranted to be error free nor do they necessarily imply official endorsement or acceptance by the United Nations.</t>
    </r>
  </si>
  <si>
    <t>Dimension</t>
  </si>
  <si>
    <t>Category</t>
  </si>
  <si>
    <t>Component</t>
  </si>
  <si>
    <t>Sub-Component</t>
  </si>
  <si>
    <t>Indicator Name</t>
  </si>
  <si>
    <t>Indicator Long Name</t>
  </si>
  <si>
    <t>Hazards &amp; Exposure</t>
  </si>
  <si>
    <t>Absolute</t>
  </si>
  <si>
    <t>http://preview.grid.unep.ch/</t>
  </si>
  <si>
    <t>Relative</t>
  </si>
  <si>
    <t>Flood</t>
  </si>
  <si>
    <t>HA.NAT.FL-ABS</t>
  </si>
  <si>
    <t>Global Risk Data Platform with key support from USGS EROS Data Center Dartmouth Flood Observatory United Nations Environment Programme</t>
  </si>
  <si>
    <t>HA.NAT.FL-REL</t>
  </si>
  <si>
    <t>Global Risk Data Platform with key support from USGS EROS Data Center Dartmouth Flood Observatory United Nations Environment Programme, LandScan</t>
  </si>
  <si>
    <t>Drought</t>
  </si>
  <si>
    <t>EM-DAT, CRED</t>
  </si>
  <si>
    <t>http://www.emdat.be/</t>
  </si>
  <si>
    <t>HA.HUM.PS</t>
  </si>
  <si>
    <t>Political Stability and Absence of Violence/Terrorism</t>
  </si>
  <si>
    <t>Worldwide Governance Indicators World Bank</t>
  </si>
  <si>
    <t>http://info.worldbank.org/governance/wgi/index.asp</t>
  </si>
  <si>
    <t>HA.HUM.CON</t>
  </si>
  <si>
    <t>Heidelberg Institute</t>
  </si>
  <si>
    <t>http://www.hiik.de/en/konfliktbarometer/index.html</t>
  </si>
  <si>
    <t>Social-Economics Vulnerability</t>
  </si>
  <si>
    <t>Poverty &amp; Development</t>
  </si>
  <si>
    <t>VU.SEV.PD.HDI</t>
  </si>
  <si>
    <t>http://hdrstats.undp.org/en/indicators/103106.html</t>
  </si>
  <si>
    <t>VU.SEV.PD.MPI</t>
  </si>
  <si>
    <t>VU.SEV.INQ.GII</t>
  </si>
  <si>
    <t>http://hdrstats.undp.org/en/indicators/68606.html</t>
  </si>
  <si>
    <t>VU.SEV.INQ.GINI</t>
  </si>
  <si>
    <t>Income Gini coefficient - Inequality in income or consumption</t>
  </si>
  <si>
    <t>Economical Dependency</t>
  </si>
  <si>
    <t>Health of children under 5</t>
  </si>
  <si>
    <t>Mortality rate, under-5 (per 1,000 live births)</t>
  </si>
  <si>
    <t>UNICEF</t>
  </si>
  <si>
    <t>http://www.unicef.org/publications/index_pubs_statistics.html</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</si>
  <si>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</si>
  <si>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</si>
  <si>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</si>
  <si>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</si>
  <si>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</si>
  <si>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</si>
  <si>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</si>
  <si>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</si>
  <si>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</si>
  <si>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</si>
  <si>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</si>
  <si>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Capacity</t>
  </si>
  <si>
    <t>Government effectiveness</t>
  </si>
  <si>
    <t>Trasparency International</t>
  </si>
  <si>
    <t>http://cpi.transparency.org/cpi2012/</t>
  </si>
  <si>
    <t>DRR implementation</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</si>
  <si>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</si>
  <si>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</si>
  <si>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</si>
  <si>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</si>
  <si>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</si>
  <si>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</si>
  <si>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</si>
  <si>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</si>
  <si>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</si>
  <si>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</si>
  <si>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http://data.worldbank.org/indicator/SH.STA.ACSN</t>
  </si>
  <si>
    <t>http://data.worldbank.org/indicator/SH.H2O.SAFE.ZS</t>
  </si>
  <si>
    <t>Physicians density</t>
  </si>
  <si>
    <t>Common</t>
  </si>
  <si>
    <t>ORNL LandScan population density</t>
  </si>
  <si>
    <t>OakRidge National Laboratory</t>
  </si>
  <si>
    <t>http://www.ornl.gov/sci/landscan/</t>
  </si>
  <si>
    <t>Total population</t>
  </si>
  <si>
    <t>URL</t>
  </si>
  <si>
    <t>Health conditions</t>
  </si>
  <si>
    <t>Physical exposure to flood - average annual population exposed (inhabitants)</t>
  </si>
  <si>
    <t>Physical exposure to flood - average annual population exposed (percentage of the total population)</t>
  </si>
  <si>
    <t>VU.VG.UP.RET-REF-TOT</t>
  </si>
  <si>
    <t>VU.VGR.OG.HE.HIV</t>
  </si>
  <si>
    <t>Adult Prevalence of HIV-AIDS</t>
  </si>
  <si>
    <t>HIV prevalence among adults aged 15-49 years (%)</t>
  </si>
  <si>
    <t>VU.VGR.OG.HE.MAL</t>
  </si>
  <si>
    <t>Deaths due to malaria (per 100 000 population)</t>
  </si>
  <si>
    <t>VU.VGR.OG.HE.TBC</t>
  </si>
  <si>
    <t>Estimated prevalence of tuberculosis (per 100 000 population)</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</si>
  <si>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</si>
  <si>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</si>
  <si>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</si>
  <si>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</si>
  <si>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</si>
  <si>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</si>
  <si>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CC.INS.GOV.GE</t>
  </si>
  <si>
    <t>CC.INS.GOV.CPI</t>
  </si>
  <si>
    <t>Corruption Perception Index CPI</t>
  </si>
  <si>
    <t>CC.INF.COM.LITR</t>
  </si>
  <si>
    <t>CC.INF.COM.ELACCS</t>
  </si>
  <si>
    <t>CC.INF.COM.NETUS</t>
  </si>
  <si>
    <t>Internet Users</t>
  </si>
  <si>
    <t>CC.INF.COM.CEL</t>
  </si>
  <si>
    <t>Mobile celluar subscriptions</t>
  </si>
  <si>
    <t>CC.INF.PHY.STA</t>
  </si>
  <si>
    <t>Improved sanitation facilities</t>
  </si>
  <si>
    <t>CC.INF.PHY.H2O</t>
  </si>
  <si>
    <t>Improved water source</t>
  </si>
  <si>
    <t>CC.INF.AHC.HEALTH_EXP</t>
  </si>
  <si>
    <t>Per capita total expenditure on health (PPP int. USD)</t>
  </si>
  <si>
    <t>CC.INF.AHC.MEAS</t>
  </si>
  <si>
    <t>Measles Immunization Coverage</t>
  </si>
  <si>
    <t>Measles (MCV) immunization coverage among 1-year-olds (%)</t>
  </si>
  <si>
    <t>CC.INF.AHC.PHYS</t>
  </si>
  <si>
    <t>Density of physicians (per 10,000 population)</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</si>
  <si>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</si>
  <si>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</si>
  <si>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</si>
  <si>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Drought is the only one slow on-set hazards considered in the natural hazard category.</t>
  </si>
  <si>
    <t>Political Stability and Absence of Violence/Terrorism measures perceptions of the likelihood that the government will be destabilized or overthrown by unconstitutional or violent means, including politically-motivated violence and terrorism.</t>
  </si>
  <si>
    <t>The HIIK's annual publication Conflict Barometer describes the recent trends in global conflict developments, escalations, de-escalations, and settlements.</t>
  </si>
  <si>
    <t>The Human Development Index measure development by combining indicators of life expectancy, educational attainment and income into a composite index.</t>
  </si>
  <si>
    <t>It is assumed that the more developed a country is the better its people will be able to respond to humanitarian needs using their own individual or national resources.</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</si>
  <si>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</si>
  <si>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</si>
  <si>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</si>
  <si>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</si>
  <si>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</si>
  <si>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</si>
  <si>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</si>
  <si>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</si>
  <si>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</si>
  <si>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</si>
  <si>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</si>
  <si>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</si>
  <si>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</si>
  <si>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</si>
  <si>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</si>
  <si>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The number of cases of tuberculosis (all forms) in a population at a given point in time (the middle of the calendar year), expressed as the rate per 100 000 population. Estimates include cases of TB in people with HIV.</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</si>
  <si>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</si>
  <si>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</si>
  <si>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</si>
  <si>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</si>
  <si>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Because data on the incidences and prevalence of diseases (morbidity data) frequently are unavailable, mortality rates are often used to identify vulnerable populations. 
Under-five mortality rate is an MDG indicator (MDG 4).</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</si>
  <si>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</si>
  <si>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</si>
  <si>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</si>
  <si>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</si>
  <si>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</si>
  <si>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</si>
  <si>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</si>
  <si>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</si>
  <si>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</si>
  <si>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</si>
  <si>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</si>
  <si>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</si>
  <si>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</si>
  <si>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</si>
  <si>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</si>
  <si>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</si>
  <si>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</si>
  <si>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</si>
  <si>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</si>
  <si>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</si>
  <si>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The physical infrastructure component tries to assess the accessibility as well as the redundancy of the systems which are two crucial characteristics in a crisis situation.</t>
  </si>
  <si>
    <t>Per capita total expenditure on health (THE) expressed in Purchasing Power Parities (PPP) international dollar.</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</si>
  <si>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</si>
  <si>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</si>
  <si>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Number of medical doctors (physicians), including generalist and specialist medical practitioners, per 10,000 population.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</si>
  <si>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</si>
  <si>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</si>
  <si>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</si>
  <si>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</si>
  <si>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</si>
  <si>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</si>
  <si>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Regions</t>
  </si>
  <si>
    <t>USD Million</t>
  </si>
  <si>
    <t>http://data.worldbank.org/indicator/SP.POP.TOTL</t>
  </si>
  <si>
    <t>Previous Releases:</t>
  </si>
  <si>
    <t>http://data.worldbank.org/indicator/SI.POV.GINI</t>
  </si>
  <si>
    <t>(a-z)</t>
  </si>
  <si>
    <t>(0-10)</t>
  </si>
  <si>
    <t>LACK OF COPING CAPACITY</t>
  </si>
  <si>
    <t>ISO-ADM1</t>
  </si>
  <si>
    <t>ADMIN1</t>
  </si>
  <si>
    <t>ISO-ADMIN1</t>
  </si>
  <si>
    <t>ACLED</t>
  </si>
  <si>
    <t>Remittances</t>
  </si>
  <si>
    <t>Political violence</t>
  </si>
  <si>
    <t>BCPR  DRR &amp; recovery recips</t>
  </si>
  <si>
    <t>GFDRR recipients</t>
  </si>
  <si>
    <t>Disaster prevention and preparedness</t>
  </si>
  <si>
    <t>2007-10</t>
  </si>
  <si>
    <t>2007-11</t>
  </si>
  <si>
    <t>International Investments in risk reduction</t>
  </si>
  <si>
    <t>Total Investments in risk reduction per capita (GHA)</t>
  </si>
  <si>
    <t>Inequality Index</t>
  </si>
  <si>
    <t>Development &amp; Deprivation Index</t>
  </si>
  <si>
    <t>Recent Shocks Index</t>
  </si>
  <si>
    <t>Food Insecurity Index</t>
  </si>
  <si>
    <t>http://www.inform-index.org/sahel/</t>
  </si>
  <si>
    <t>The Human Hazard component of INFORM refers to risk of conflicts, unrest or crime in the country. The Conflict Barometer describes the conflict intensity component.</t>
  </si>
  <si>
    <t>INFORM Id</t>
  </si>
  <si>
    <t>The Human Hazard component of INFORM refers to risk of conflicts, unrest or crime in the country. The Political Stability measures the legitimacy of the constituent regime.</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</si>
  <si>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</si>
  <si>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UNDP National Human Development Report</t>
  </si>
  <si>
    <t>Oxford Poverty and Human Development Initiative (2014), Global Multidimensional Poverty Index (MPI) Databank. OPHI, University of Oxford.</t>
  </si>
  <si>
    <t>http://www.ophi.org.uk/multidimensional-poverty-index</t>
  </si>
  <si>
    <t>Opération Sahel, UNHCR; OCHA</t>
  </si>
  <si>
    <t>http://data.unhcr.org/SahelSituation/region.php</t>
  </si>
  <si>
    <t>Disaster prevention and preparedness funds</t>
  </si>
  <si>
    <t>Source</t>
  </si>
  <si>
    <t>It would be better to use the figures of the population potentially affected to food insecurity (IPC Phase 3-5).</t>
  </si>
  <si>
    <t>Resolution</t>
  </si>
  <si>
    <t>Subnational</t>
  </si>
  <si>
    <t>National</t>
  </si>
  <si>
    <t>Partially subnational</t>
  </si>
  <si>
    <t>ACLED (Armed Conflict Location &amp; Event Data Project) is the most comprehensive public collection of political violence data for developing states. This dataset contains information on the specific dates and locations of political violence, the types of event, the groups involved, fatalities and changes in territorial control. Information is recorded on the battles, killings, riots, and recruitment activities of rebels, governments, militias, armed groups, protesters and civilians.</t>
  </si>
  <si>
    <t>The Human Hazard component of INFORM refers to risk of conflicts, unrest or crime in the country. The Political Violence measures the consequences of low performance of the security system.</t>
  </si>
  <si>
    <t>Raleigh, Clionadh, Andrew Linke, Håvard Hegre and Joakim Karlsen. 2010. Introducing ACLED-Armed Conflict Location and Event Data. Journal of Peace Research 47(5) 1-10.</t>
  </si>
  <si>
    <t>http://www.acleddata.com/</t>
  </si>
  <si>
    <t>ACLED (Armed Conflict Location &amp; Event Data Project)</t>
  </si>
  <si>
    <t>Global Humanitarian Assistance</t>
  </si>
  <si>
    <t>http://www.globalhumanitarianassistance.org/</t>
  </si>
  <si>
    <t>Global Humanitarian Assistance report (GHA), Development Initiatives (DI). Development Initiatives based on OECD DAC, OECD DAC CRS, United Nations Development Programme (UNDP) Bureau for Crisis Prevention and Recovery (BCPR) and Global Facility for Disaster Reduction and Recovery (GFDRR) data.</t>
  </si>
  <si>
    <t>The indicator quantifies the level of investiment in DRR activity.</t>
  </si>
  <si>
    <t>What resources do governments have to respond to crises within their own countries? What investments have been made in risk reduction?</t>
  </si>
  <si>
    <t>NutritionInfo, UNICEF</t>
  </si>
  <si>
    <t>http://www.devinfolive.info/nutritioninfo/test/</t>
  </si>
  <si>
    <t>WHO</t>
  </si>
  <si>
    <t>Immunization rate (or 1-year-olds immunized against): DTP</t>
  </si>
  <si>
    <t>Which areas receive most remittances shows lack of local employment and family separation, possibly Woman Headed Household.</t>
  </si>
  <si>
    <t>Personal transfers consist of all current transfers in cash or in kind made or received by resident households to or from nonresident households. Personal transfers thus include all current transfers between resident and nonresident individuals. Compensation of employees refers to the income of border, seasonal, and other short-term workers who are employed in an economy where they are not resident and of residents employed by nonresident entities. Data are the sum of two items defined in the sixth edition of the IMF's Balance of Payments Manual: personal transfers and compensation of employees. Data are in current U.S. dollars.</t>
  </si>
  <si>
    <t>Personal remittances, received (current US$)</t>
  </si>
  <si>
    <t>Personal remittances</t>
  </si>
  <si>
    <t>World Bank staff estimates based on IMF balance of payments data.</t>
  </si>
  <si>
    <t>http://data.worldbank.org/indicator/BX.TRF.PWKR.CD.DT</t>
  </si>
  <si>
    <t>INFORM Natural Hazard</t>
  </si>
  <si>
    <t>Index for Risk Management (INFORM) - Great Horn of Africa</t>
  </si>
  <si>
    <t>Physical exposure to Floods</t>
  </si>
  <si>
    <t>Physical exposure to Droughts</t>
  </si>
  <si>
    <t>IPC</t>
  </si>
  <si>
    <t>Bubanza</t>
  </si>
  <si>
    <t>BI-BB</t>
  </si>
  <si>
    <t>Bujumbura Mairie</t>
  </si>
  <si>
    <t>BI-BM</t>
  </si>
  <si>
    <t>Bujumbura Rural</t>
  </si>
  <si>
    <t>BI-BL</t>
  </si>
  <si>
    <t>Bururi</t>
  </si>
  <si>
    <t>BI-BR</t>
  </si>
  <si>
    <t>Cankuzo</t>
  </si>
  <si>
    <t>BI-CA</t>
  </si>
  <si>
    <t>Cibitoke</t>
  </si>
  <si>
    <t>BI-CI</t>
  </si>
  <si>
    <t>Gitega</t>
  </si>
  <si>
    <t>BI-GI</t>
  </si>
  <si>
    <t>Karuzi</t>
  </si>
  <si>
    <t>BI-KR</t>
  </si>
  <si>
    <t>Kayanza</t>
  </si>
  <si>
    <t>BI-KY</t>
  </si>
  <si>
    <t>Kirundo</t>
  </si>
  <si>
    <t>BI-KI</t>
  </si>
  <si>
    <t>Makamba</t>
  </si>
  <si>
    <t>BI-MA</t>
  </si>
  <si>
    <t>Muramvya</t>
  </si>
  <si>
    <t>BI-MU</t>
  </si>
  <si>
    <t>Muyinga</t>
  </si>
  <si>
    <t>BI-MY</t>
  </si>
  <si>
    <t>Mwaro</t>
  </si>
  <si>
    <t>BI-MW</t>
  </si>
  <si>
    <t>Ngozi</t>
  </si>
  <si>
    <t>BI-NG</t>
  </si>
  <si>
    <t>Rutana</t>
  </si>
  <si>
    <t>BI-RT</t>
  </si>
  <si>
    <t>Ruyigi</t>
  </si>
  <si>
    <t>BI-RY</t>
  </si>
  <si>
    <t>Djibouti</t>
  </si>
  <si>
    <t>Ali Sabieh</t>
  </si>
  <si>
    <t>DJ-AS</t>
  </si>
  <si>
    <t>Dikhil</t>
  </si>
  <si>
    <t>DJ-DI</t>
  </si>
  <si>
    <t>DJ-DJ</t>
  </si>
  <si>
    <t>Obock</t>
  </si>
  <si>
    <t>DJ-OB</t>
  </si>
  <si>
    <t>Tadjourah</t>
  </si>
  <si>
    <t>DJ-TA</t>
  </si>
  <si>
    <t>Eritrea</t>
  </si>
  <si>
    <t>Anseba</t>
  </si>
  <si>
    <t>ER-AN</t>
  </si>
  <si>
    <t>Debub</t>
  </si>
  <si>
    <t>ER-DU</t>
  </si>
  <si>
    <t>Debubawi Keih Bahri</t>
  </si>
  <si>
    <t>ER-DK</t>
  </si>
  <si>
    <t>Gash Barka</t>
  </si>
  <si>
    <t>ER-GB</t>
  </si>
  <si>
    <t>Maekel</t>
  </si>
  <si>
    <t>ER-MA</t>
  </si>
  <si>
    <t>Semenawi Keih Bahri</t>
  </si>
  <si>
    <t>ER-SK</t>
  </si>
  <si>
    <t>Ethiopia</t>
  </si>
  <si>
    <t>Addis Ababa</t>
  </si>
  <si>
    <t>ET-AA</t>
  </si>
  <si>
    <t>Afar</t>
  </si>
  <si>
    <t>ET-AF</t>
  </si>
  <si>
    <t>Amhara</t>
  </si>
  <si>
    <t>ET-AM</t>
  </si>
  <si>
    <t>Benishangul Gumuz</t>
  </si>
  <si>
    <t>ET-BE</t>
  </si>
  <si>
    <t>Dire Dawa</t>
  </si>
  <si>
    <t>ET-DD</t>
  </si>
  <si>
    <t>Gambella</t>
  </si>
  <si>
    <t>ET-GA</t>
  </si>
  <si>
    <t>Harari</t>
  </si>
  <si>
    <t>ET-HA</t>
  </si>
  <si>
    <t>Oromiya</t>
  </si>
  <si>
    <t>ET-OR</t>
  </si>
  <si>
    <t>SNNPR</t>
  </si>
  <si>
    <t>ET-SN</t>
  </si>
  <si>
    <t>Somali</t>
  </si>
  <si>
    <t>ET-SO</t>
  </si>
  <si>
    <t>Tigray</t>
  </si>
  <si>
    <t>ET-TI</t>
  </si>
  <si>
    <t>Kenya</t>
  </si>
  <si>
    <t>Baringo</t>
  </si>
  <si>
    <t>Bomet</t>
  </si>
  <si>
    <t>Bungoma</t>
  </si>
  <si>
    <t>Busia</t>
  </si>
  <si>
    <t>Elgeyo-Marakwet</t>
  </si>
  <si>
    <t>Embu</t>
  </si>
  <si>
    <t>Garissa</t>
  </si>
  <si>
    <t>Homa Bay</t>
  </si>
  <si>
    <t>Isiolo</t>
  </si>
  <si>
    <t>Kajiado</t>
  </si>
  <si>
    <t>Kakamega</t>
  </si>
  <si>
    <t>Kericho</t>
  </si>
  <si>
    <t>Kiambu</t>
  </si>
  <si>
    <t>Kilifi</t>
  </si>
  <si>
    <t>Kirinyaga</t>
  </si>
  <si>
    <t>Kisii</t>
  </si>
  <si>
    <t>Kisumu</t>
  </si>
  <si>
    <t>Kitui</t>
  </si>
  <si>
    <t>Kwale</t>
  </si>
  <si>
    <t>Laikipia</t>
  </si>
  <si>
    <t>Lamu</t>
  </si>
  <si>
    <t>Machakos</t>
  </si>
  <si>
    <t>Makueni</t>
  </si>
  <si>
    <t>Mandera</t>
  </si>
  <si>
    <t>Marsabit</t>
  </si>
  <si>
    <t>Meru</t>
  </si>
  <si>
    <t>Migori</t>
  </si>
  <si>
    <t>Mombasa</t>
  </si>
  <si>
    <t>Murang'a</t>
  </si>
  <si>
    <t>Nairobi</t>
  </si>
  <si>
    <t>Nakuru</t>
  </si>
  <si>
    <t>Nandi</t>
  </si>
  <si>
    <t>Narok</t>
  </si>
  <si>
    <t>Nyamira</t>
  </si>
  <si>
    <t>Nyandarua</t>
  </si>
  <si>
    <t>Nyeri</t>
  </si>
  <si>
    <t>Samburu</t>
  </si>
  <si>
    <t>Siaya</t>
  </si>
  <si>
    <t>Taita Taveta</t>
  </si>
  <si>
    <t>Tana River</t>
  </si>
  <si>
    <t>Tharaka - Nithi</t>
  </si>
  <si>
    <t>Trans Nzoia</t>
  </si>
  <si>
    <t>Turkana</t>
  </si>
  <si>
    <t>Uasin Gishu</t>
  </si>
  <si>
    <t>Vihiga</t>
  </si>
  <si>
    <t>Wajir</t>
  </si>
  <si>
    <t>West Pokot</t>
  </si>
  <si>
    <t>Rwanda</t>
  </si>
  <si>
    <t>Eastern Province(Est )</t>
  </si>
  <si>
    <t>RW-02</t>
  </si>
  <si>
    <t>Northern Province(Nord)</t>
  </si>
  <si>
    <t>RW-03</t>
  </si>
  <si>
    <t>Western Province(Ouest)</t>
  </si>
  <si>
    <t>RW-04</t>
  </si>
  <si>
    <t>Southern Province(Sud)</t>
  </si>
  <si>
    <t>RW-05</t>
  </si>
  <si>
    <t>Kigali Village(Ville De Kigali)</t>
  </si>
  <si>
    <t>RW-01</t>
  </si>
  <si>
    <t>Somalia</t>
  </si>
  <si>
    <t>Awdal</t>
  </si>
  <si>
    <t>SO-AW</t>
  </si>
  <si>
    <t>Bakool</t>
  </si>
  <si>
    <t>SO-BK</t>
  </si>
  <si>
    <t>Banadir</t>
  </si>
  <si>
    <t>SO-BN</t>
  </si>
  <si>
    <t>Bari</t>
  </si>
  <si>
    <t>SO-BR</t>
  </si>
  <si>
    <t>Bay</t>
  </si>
  <si>
    <t>SO-BY</t>
  </si>
  <si>
    <t>Galgaduud</t>
  </si>
  <si>
    <t>SO-GA</t>
  </si>
  <si>
    <t>Gedo</t>
  </si>
  <si>
    <t>SO-GE</t>
  </si>
  <si>
    <t>Hiraan</t>
  </si>
  <si>
    <t>SO-HI</t>
  </si>
  <si>
    <t>Lower Juba</t>
  </si>
  <si>
    <t>SO-JH</t>
  </si>
  <si>
    <t>Lower Shabelle</t>
  </si>
  <si>
    <t>SO-SH</t>
  </si>
  <si>
    <t>Middle Juba</t>
  </si>
  <si>
    <t>SO-JD</t>
  </si>
  <si>
    <t>Middle Shabelle</t>
  </si>
  <si>
    <t>SO-SD</t>
  </si>
  <si>
    <t>Mudug</t>
  </si>
  <si>
    <t>SO-MU</t>
  </si>
  <si>
    <t>Nugaal</t>
  </si>
  <si>
    <t>SO-NU</t>
  </si>
  <si>
    <t>Sanaag</t>
  </si>
  <si>
    <t>SO-SA</t>
  </si>
  <si>
    <t>Sool</t>
  </si>
  <si>
    <t>SO-SO</t>
  </si>
  <si>
    <t>Togdheer</t>
  </si>
  <si>
    <t>SO-TO</t>
  </si>
  <si>
    <t>Woqooyi Galbeed</t>
  </si>
  <si>
    <t>SO-WO</t>
  </si>
  <si>
    <t>South Sudan</t>
  </si>
  <si>
    <t>Upper Nile</t>
  </si>
  <si>
    <t>SS-NU</t>
  </si>
  <si>
    <t>Jonglei</t>
  </si>
  <si>
    <t>SS-JG</t>
  </si>
  <si>
    <t>Unity</t>
  </si>
  <si>
    <t>SS-UY</t>
  </si>
  <si>
    <t>Warrap</t>
  </si>
  <si>
    <t>SS-WR</t>
  </si>
  <si>
    <t>Northern Bahr El Ghazal</t>
  </si>
  <si>
    <t>SS-BN</t>
  </si>
  <si>
    <t>Western Bahr El Ghazal</t>
  </si>
  <si>
    <t>SS-BW</t>
  </si>
  <si>
    <t>Lakes</t>
  </si>
  <si>
    <t>SS-LK</t>
  </si>
  <si>
    <t>Western Equatoria</t>
  </si>
  <si>
    <t>SS-EW</t>
  </si>
  <si>
    <t>Central Equatorial</t>
  </si>
  <si>
    <t>SS-EC</t>
  </si>
  <si>
    <t>Eastern Equatoria</t>
  </si>
  <si>
    <t>SS-EE</t>
  </si>
  <si>
    <t>Sudan</t>
  </si>
  <si>
    <t>Al Gezira</t>
  </si>
  <si>
    <t>SD-07</t>
  </si>
  <si>
    <t>Blue Nile</t>
  </si>
  <si>
    <t>SD-24</t>
  </si>
  <si>
    <t>Central Darfur</t>
  </si>
  <si>
    <t>SD-27</t>
  </si>
  <si>
    <t>East Darfur</t>
  </si>
  <si>
    <t>SD-28</t>
  </si>
  <si>
    <t>Gedaref</t>
  </si>
  <si>
    <t>SD-06</t>
  </si>
  <si>
    <t>Kassala</t>
  </si>
  <si>
    <t>SD-05</t>
  </si>
  <si>
    <t>Khartoum</t>
  </si>
  <si>
    <t>SD-03</t>
  </si>
  <si>
    <t>North Darfur</t>
  </si>
  <si>
    <t>SD-02</t>
  </si>
  <si>
    <t>North Kordofan</t>
  </si>
  <si>
    <t>SD-09</t>
  </si>
  <si>
    <t>Northern</t>
  </si>
  <si>
    <t>SD-01</t>
  </si>
  <si>
    <t>Red Sea</t>
  </si>
  <si>
    <t>SD-26</t>
  </si>
  <si>
    <t>River Nile</t>
  </si>
  <si>
    <t>SD-04</t>
  </si>
  <si>
    <t>Sennar</t>
  </si>
  <si>
    <t>SD-25</t>
  </si>
  <si>
    <t>South Darfur</t>
  </si>
  <si>
    <t>SD-11</t>
  </si>
  <si>
    <t>South Kordofan</t>
  </si>
  <si>
    <t>SD-13</t>
  </si>
  <si>
    <t>West Darfur</t>
  </si>
  <si>
    <t>SD-12</t>
  </si>
  <si>
    <t>White Nile</t>
  </si>
  <si>
    <t>SD-08</t>
  </si>
  <si>
    <t>Uganda</t>
  </si>
  <si>
    <t>Central 1</t>
  </si>
  <si>
    <t>Central 2</t>
  </si>
  <si>
    <t>East Central</t>
  </si>
  <si>
    <t>Eastern</t>
  </si>
  <si>
    <t>Kampala</t>
  </si>
  <si>
    <t>Karamoja</t>
  </si>
  <si>
    <t>North</t>
  </si>
  <si>
    <t>Southwest</t>
  </si>
  <si>
    <t>West Nile</t>
  </si>
  <si>
    <t>Western</t>
  </si>
  <si>
    <t>Burundi</t>
  </si>
  <si>
    <t>BDI</t>
  </si>
  <si>
    <t>DJI</t>
  </si>
  <si>
    <t>ERI</t>
  </si>
  <si>
    <t>ETH</t>
  </si>
  <si>
    <t>KEN</t>
  </si>
  <si>
    <t>RWA</t>
  </si>
  <si>
    <t>SOM</t>
  </si>
  <si>
    <t>SDN</t>
  </si>
  <si>
    <t>SSD</t>
  </si>
  <si>
    <t>UGA</t>
  </si>
  <si>
    <t>GCRI Violent Conflict probability</t>
  </si>
  <si>
    <t>GCRI Highly Violent Conflict probability</t>
  </si>
  <si>
    <t>National Power Conflict Intensity</t>
  </si>
  <si>
    <t>Subnational Conflict Intensity</t>
  </si>
  <si>
    <t>No data</t>
  </si>
  <si>
    <t>Road density</t>
  </si>
  <si>
    <t>2001-10</t>
  </si>
  <si>
    <t>km of road per 100 sq.km</t>
  </si>
  <si>
    <t>Conflict Risk</t>
  </si>
  <si>
    <t>Current Conflict Intensity</t>
  </si>
  <si>
    <t>HA.HUM.CON.NP</t>
  </si>
  <si>
    <t>Conflict Barometer - National Power Conflicts</t>
  </si>
  <si>
    <t>The Human Hazard component of InfoRM refers to risk of conflicts in the country.</t>
  </si>
  <si>
    <t>HA.HUM.CON.SN</t>
  </si>
  <si>
    <t>Conflict Barometer - Subnational Conflicts</t>
  </si>
  <si>
    <t>Internal Conflict Probability</t>
  </si>
  <si>
    <t>HA.HUM.GCRI-VC</t>
  </si>
  <si>
    <t>GCRI Violent Internal Conflict probability</t>
  </si>
  <si>
    <t>The Global Conflict Risk Index (GCRI) is an indicator that assess the states' risk for violent internal conflicts.</t>
  </si>
  <si>
    <t>JRC</t>
  </si>
  <si>
    <t>http://conflictrisk.gdacs.org/</t>
  </si>
  <si>
    <t>HA.HUM.GCRI-HVC</t>
  </si>
  <si>
    <t>GCRI High Violent Internal Conflict probability</t>
  </si>
  <si>
    <t>The indicator is based on the last IPC available. It assess the current risk of food insecurity. The indicator is the higher IPC phase for each admin1 unit.</t>
  </si>
  <si>
    <t>FEWSNET</t>
  </si>
  <si>
    <t>UG-C1</t>
  </si>
  <si>
    <t>UG-C2</t>
  </si>
  <si>
    <t>UG-EC</t>
  </si>
  <si>
    <t>UG-EA</t>
  </si>
  <si>
    <t xml:space="preserve">UG-KM </t>
  </si>
  <si>
    <t>UG-KR</t>
  </si>
  <si>
    <t>UG-NO</t>
  </si>
  <si>
    <t>UG-SO</t>
  </si>
  <si>
    <t>UG-WN</t>
  </si>
  <si>
    <t>UG-WE</t>
  </si>
  <si>
    <t>NAME ADM2</t>
  </si>
  <si>
    <t>ISO-ADM2</t>
  </si>
  <si>
    <t>NAME ADM1</t>
  </si>
  <si>
    <t>Rift Valley</t>
  </si>
  <si>
    <t>Nairobi Municipality</t>
  </si>
  <si>
    <t>Central</t>
  </si>
  <si>
    <t>Coast</t>
  </si>
  <si>
    <t>North-Eastern</t>
  </si>
  <si>
    <t>Nyanza</t>
  </si>
  <si>
    <t>KE-NA</t>
  </si>
  <si>
    <t>KE-CE</t>
  </si>
  <si>
    <t>KE-CO</t>
  </si>
  <si>
    <t>KE-EA</t>
  </si>
  <si>
    <t>KE-NE</t>
  </si>
  <si>
    <t>KE-NY</t>
  </si>
  <si>
    <t>KE-RV</t>
  </si>
  <si>
    <t>KE-WE</t>
  </si>
  <si>
    <t>KE-BA</t>
  </si>
  <si>
    <t>KE-BO</t>
  </si>
  <si>
    <t>KE-BN</t>
  </si>
  <si>
    <t>KE-BS</t>
  </si>
  <si>
    <t>KE-EM</t>
  </si>
  <si>
    <t>KE-EB</t>
  </si>
  <si>
    <t>KE-GA</t>
  </si>
  <si>
    <t>KE-HB</t>
  </si>
  <si>
    <t>KE-IS</t>
  </si>
  <si>
    <t>KE-KJ</t>
  </si>
  <si>
    <t>KE-KK</t>
  </si>
  <si>
    <t>KE-KR</t>
  </si>
  <si>
    <t>KE-KB</t>
  </si>
  <si>
    <t>KE-KF</t>
  </si>
  <si>
    <t>KE-KY</t>
  </si>
  <si>
    <t>KE-KI</t>
  </si>
  <si>
    <t>KE-KU</t>
  </si>
  <si>
    <t>KE-KT</t>
  </si>
  <si>
    <t>KE-KW</t>
  </si>
  <si>
    <t>KE-LK</t>
  </si>
  <si>
    <t>KE-LM</t>
  </si>
  <si>
    <t>KE-MC</t>
  </si>
  <si>
    <t>KE-MK</t>
  </si>
  <si>
    <t>KE-MD</t>
  </si>
  <si>
    <t>KE-MB</t>
  </si>
  <si>
    <t>KE-ME</t>
  </si>
  <si>
    <t>KE-MG</t>
  </si>
  <si>
    <t>KE-MM</t>
  </si>
  <si>
    <t>KE-MU</t>
  </si>
  <si>
    <t>KE-NB</t>
  </si>
  <si>
    <t>KE-NK</t>
  </si>
  <si>
    <t>KE-ND</t>
  </si>
  <si>
    <t>KE-NR</t>
  </si>
  <si>
    <t>KE-NM</t>
  </si>
  <si>
    <t>KE-NN</t>
  </si>
  <si>
    <t>KE-NI</t>
  </si>
  <si>
    <t>KE-SA</t>
  </si>
  <si>
    <t>KE-SI</t>
  </si>
  <si>
    <t>KE-TT</t>
  </si>
  <si>
    <t>KE-TR</t>
  </si>
  <si>
    <t>KE-NT</t>
  </si>
  <si>
    <t>KE-TN</t>
  </si>
  <si>
    <t>KE-TU</t>
  </si>
  <si>
    <t>KE-UG</t>
  </si>
  <si>
    <t>KE-VI</t>
  </si>
  <si>
    <t>KE-WJ</t>
  </si>
  <si>
    <t>KE-WP</t>
  </si>
  <si>
    <t>Physical exposure to Droughts High Risk</t>
  </si>
  <si>
    <t>Physical exposure to Droughts Medium Risk</t>
  </si>
  <si>
    <t>Physical exposure to drought (relative)</t>
  </si>
  <si>
    <t>Physical exposure to drought high risk (absolute)</t>
  </si>
  <si>
    <t>Physical exposure to drought medium risk (absolute)</t>
  </si>
  <si>
    <t>Physical exposure to drought (absolute)</t>
  </si>
  <si>
    <t>Physical exposure to drought high risk (relative)</t>
  </si>
  <si>
    <t>Physical exposure to drought medium risk (relative)</t>
  </si>
  <si>
    <t>Physical exposure to drought</t>
  </si>
  <si>
    <t>GCRI Highly Violent Internal Conflict probability</t>
  </si>
  <si>
    <t>GCRI Internal Conflict Score</t>
  </si>
  <si>
    <t>INFORM Human Hazard (V1)</t>
  </si>
  <si>
    <t>Total Refugees</t>
  </si>
  <si>
    <t>Refugees (total population)</t>
  </si>
  <si>
    <t>Total Refugees (percentage of the total population)</t>
  </si>
  <si>
    <t>IDPs (total population)</t>
  </si>
  <si>
    <t>Total IDPs</t>
  </si>
  <si>
    <t>Total IDPs (percentage of the total population)</t>
  </si>
  <si>
    <t>Refugees</t>
  </si>
  <si>
    <t>IDPS</t>
  </si>
  <si>
    <t>INFORM Human Hazard (V2 Global INFORM approach)</t>
  </si>
  <si>
    <t>No Data</t>
  </si>
  <si>
    <t>2012-2014</t>
  </si>
  <si>
    <t>ACLED (fatalities from security incidents)</t>
  </si>
  <si>
    <t>INFORM GHoA 2015 (a-z)</t>
  </si>
  <si>
    <t>Access to improved sanitation</t>
  </si>
  <si>
    <t>Conflict probability</t>
  </si>
  <si>
    <t>Index of underdevelopment</t>
  </si>
  <si>
    <t xml:space="preserve">Inequality amongst poor </t>
  </si>
  <si>
    <t>Depth of poverty</t>
  </si>
  <si>
    <t>Public goods</t>
  </si>
  <si>
    <t>Income and jobs</t>
  </si>
  <si>
    <t>Access to Finance</t>
  </si>
  <si>
    <t>Access to insurance</t>
  </si>
  <si>
    <t>Financial &amp; economic system</t>
  </si>
  <si>
    <t>Access to sanitation</t>
  </si>
  <si>
    <t>Physical Infrastructure</t>
  </si>
  <si>
    <t>Export costs</t>
  </si>
  <si>
    <t>Social safety net and social insurance coverage</t>
  </si>
  <si>
    <t>Social good infrastructure</t>
  </si>
  <si>
    <t>Youth participaition rate</t>
  </si>
  <si>
    <t>GDP per capita</t>
  </si>
  <si>
    <t>Inactivity rate</t>
  </si>
  <si>
    <t>Availability of land [arable land per capita x percentage of labour force]</t>
  </si>
  <si>
    <t>Private insurance coverage</t>
  </si>
  <si>
    <t>Insurance</t>
  </si>
  <si>
    <t>mobile money</t>
  </si>
  <si>
    <t>Financial access</t>
  </si>
  <si>
    <t>Private credit</t>
  </si>
  <si>
    <t>Remittances/GNI</t>
  </si>
  <si>
    <t>Private Infrstructure</t>
  </si>
  <si>
    <t>Public infrastructure</t>
  </si>
  <si>
    <t>Private Infrastructure</t>
  </si>
  <si>
    <t>Public Infrastructure</t>
  </si>
  <si>
    <t>Social Infrastructure</t>
  </si>
  <si>
    <t>NAME ADM</t>
  </si>
  <si>
    <t>ISO-ADM</t>
  </si>
  <si>
    <t>NAME ADM OLD</t>
  </si>
  <si>
    <t>Southern</t>
  </si>
  <si>
    <t>Jan 2015</t>
  </si>
  <si>
    <t>Access to improved water source</t>
  </si>
  <si>
    <t>Inequality amonst the poor</t>
  </si>
  <si>
    <t>Latest</t>
  </si>
  <si>
    <t>x</t>
  </si>
  <si>
    <t>latest</t>
  </si>
  <si>
    <t>Insurance penetration</t>
  </si>
  <si>
    <t>Insurance premium per capita</t>
  </si>
  <si>
    <t>Export Cost (cost of export one container to the nearest sea port)</t>
  </si>
  <si>
    <t>arable land per capita</t>
  </si>
  <si>
    <t>percentage of labour force in agriculture</t>
  </si>
  <si>
    <t>latets</t>
  </si>
  <si>
    <t>Domestic credit to private sector (% of GDP)</t>
  </si>
  <si>
    <t>Latest available</t>
  </si>
  <si>
    <t xml:space="preserve">mobile money customers </t>
  </si>
  <si>
    <t>% of GDP</t>
  </si>
  <si>
    <t>MAX</t>
  </si>
  <si>
    <t>MIN</t>
  </si>
  <si>
    <t>Personal remittances, received (% of GDP)</t>
  </si>
  <si>
    <t>Oct 2014 - Mar 2015</t>
  </si>
  <si>
    <t>1989-2014</t>
  </si>
  <si>
    <t>Frequency of Drought events</t>
  </si>
  <si>
    <t>Number / Year</t>
  </si>
  <si>
    <t>Conflict Intensity (HIIK)</t>
  </si>
  <si>
    <r>
      <t xml:space="preserve">(release: 6 March </t>
    </r>
    <r>
      <rPr>
        <b/>
        <sz val="11"/>
        <color rgb="FF323232"/>
        <rFont val="Calibri"/>
        <family val="2"/>
        <scheme val="minor"/>
      </rPr>
      <t>2015 v 1.4.0</t>
    </r>
    <r>
      <rPr>
        <sz val="11"/>
        <color rgb="FF323232"/>
        <rFont val="Calibri"/>
        <family val="2"/>
        <scheme val="minor"/>
      </rPr>
      <t>)</t>
    </r>
  </si>
  <si>
    <t>Finanicial and economic system</t>
  </si>
  <si>
    <t>MAX (BDI &amp; RWA)</t>
  </si>
  <si>
    <t>MIN (BDI &amp; RWA)</t>
  </si>
  <si>
    <t>Physicians Density</t>
  </si>
  <si>
    <t>per 100 people</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</si>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</sst>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0.0"/>
    <numFmt numFmtId="167" formatCode="0.000%"/>
    <numFmt numFmtId="168" formatCode="_-* #,##0_-;\-* #,##0_-;_-* &quot;-&quot;??_-;_-@_-"/>
    <numFmt numFmtId="169" formatCode="0.0%"/>
    <numFmt numFmtId="170" formatCode="_(* #,##0.00_);_(* \(#,##0.00\);_(* &quot;-&quot;??_);_(@_)"/>
    <numFmt numFmtId="171" formatCode="_-* #,##0.00_-;_-* #,##0.00\-;_-* &quot;-&quot;??_-;_-@_-"/>
    <numFmt numFmtId="172" formatCode="&quot;$&quot;#,##0\ ;\(&quot;$&quot;#,##0\)"/>
    <numFmt numFmtId="173" formatCode="_-* #,##0\ _F_B_-;\-* #,##0\ _F_B_-;_-* &quot;-&quot;\ _F_B_-;_-@_-"/>
    <numFmt numFmtId="174" formatCode="_-* #,##0.00\ _F_B_-;\-* #,##0.00\ _F_B_-;_-* &quot;-&quot;??\ _F_B_-;_-@_-"/>
    <numFmt numFmtId="175" formatCode="_(&quot;€&quot;* #,##0.00_);_(&quot;€&quot;* \(#,##0.00\);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00"/>
    <numFmt numFmtId="181" formatCode="_(* #,##0_);_(* \(#,##0\);_(* &quot;-&quot;??_);_(@_)"/>
  </numFmts>
  <fonts count="1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1"/>
      <color indexed="8"/>
      <name val="Calibri"/>
      <family val="2"/>
      <scheme val="minor"/>
    </font>
    <font>
      <b/>
      <sz val="11"/>
      <name val="Calibri"/>
      <family val="2"/>
      <scheme val="minor"/>
    </font>
    <font>
      <b/>
      <sz val="13"/>
      <name val="Calibri"/>
      <family val="2"/>
      <scheme val="minor"/>
    </font>
    <font>
      <b/>
      <sz val="15"/>
      <color theme="2" tint="-0.749992370372631"/>
      <name val="Calibri"/>
      <family val="2"/>
      <scheme val="minor"/>
    </font>
    <font>
      <b/>
      <sz val="15"/>
      <color theme="5" tint="-0.249977111117893"/>
      <name val="Calibri"/>
      <family val="2"/>
      <scheme val="minor"/>
    </font>
    <font>
      <b/>
      <sz val="13"/>
      <color theme="4" tint="-0.249977111117893"/>
      <name val="Calibri"/>
      <family val="2"/>
      <scheme val="minor"/>
    </font>
    <font>
      <b/>
      <sz val="15"/>
      <color theme="3" tint="-0.249977111117893"/>
      <name val="Calibri"/>
      <family val="2"/>
      <scheme val="minor"/>
    </font>
    <font>
      <b/>
      <sz val="15"/>
      <color theme="7" tint="-0.249977111117893"/>
      <name val="Calibri"/>
      <family val="2"/>
      <scheme val="minor"/>
    </font>
    <font>
      <b/>
      <sz val="13"/>
      <color theme="8" tint="-0.249977111117893"/>
      <name val="Calibri"/>
      <family val="2"/>
      <scheme val="minor"/>
    </font>
    <font>
      <b/>
      <sz val="13"/>
      <color theme="6" tint="-0.249977111117893"/>
      <name val="Calibri"/>
      <family val="2"/>
      <scheme val="minor"/>
    </font>
    <font>
      <sz val="11"/>
      <color theme="8" tint="-0.249977111117893"/>
      <name val="Calibri"/>
      <family val="2"/>
      <scheme val="minor"/>
    </font>
    <font>
      <b/>
      <sz val="11"/>
      <color theme="1" tint="0.499984740745262"/>
      <name val="Calibri"/>
      <family val="2"/>
      <scheme val="minor"/>
    </font>
    <font>
      <sz val="10"/>
      <color theme="1"/>
      <name val="Calibri"/>
      <family val="2"/>
      <scheme val="minor"/>
    </font>
    <font>
      <sz val="11"/>
      <color theme="6" tint="-0.249977111117893"/>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i/>
      <sz val="10"/>
      <name val="Calibri"/>
      <family val="2"/>
      <scheme val="minor"/>
    </font>
    <font>
      <b/>
      <sz val="10"/>
      <name val="Calibri"/>
      <family val="2"/>
    </font>
    <font>
      <b/>
      <sz val="18"/>
      <color theme="0"/>
      <name val="Calibri"/>
      <family val="2"/>
    </font>
    <font>
      <sz val="10"/>
      <color theme="0" tint="-0.499984740745262"/>
      <name val="Calibri"/>
      <family val="2"/>
      <scheme val="minor"/>
    </font>
    <font>
      <sz val="11"/>
      <color theme="1" tint="0.499984740745262"/>
      <name val="Calibri"/>
      <family val="2"/>
      <scheme val="minor"/>
    </font>
    <font>
      <i/>
      <sz val="11"/>
      <color theme="1" tint="0.499984740745262"/>
      <name val="Calibri"/>
      <family val="2"/>
      <scheme val="minor"/>
    </font>
    <font>
      <i/>
      <sz val="11"/>
      <color theme="1"/>
      <name val="Calibri"/>
      <family val="2"/>
      <scheme val="minor"/>
    </font>
    <font>
      <i/>
      <sz val="10"/>
      <color theme="1"/>
      <name val="Calibri"/>
      <family val="2"/>
      <scheme val="minor"/>
    </font>
    <font>
      <b/>
      <i/>
      <sz val="10"/>
      <color theme="1"/>
      <name val="Calibri"/>
      <family val="2"/>
      <scheme val="minor"/>
    </font>
    <font>
      <u/>
      <sz val="11"/>
      <color theme="10"/>
      <name val="Calibri"/>
      <family val="2"/>
    </font>
    <font>
      <sz val="11"/>
      <name val="Calibri"/>
      <family val="2"/>
      <scheme val="minor"/>
    </font>
    <font>
      <u/>
      <sz val="11"/>
      <color theme="10"/>
      <name val="Calibri"/>
      <family val="2"/>
      <scheme val="minor"/>
    </font>
    <font>
      <b/>
      <sz val="18"/>
      <color rgb="FF323232"/>
      <name val="Calibri"/>
      <family val="2"/>
    </font>
    <font>
      <sz val="11"/>
      <color rgb="FF323232"/>
      <name val="Calibri"/>
      <family val="2"/>
      <scheme val="minor"/>
    </font>
    <font>
      <b/>
      <sz val="11"/>
      <color rgb="FF323232"/>
      <name val="Calibri"/>
      <family val="2"/>
      <scheme val="minor"/>
    </font>
    <font>
      <b/>
      <sz val="10"/>
      <color rgb="FF323232"/>
      <name val="Calibri"/>
      <family val="2"/>
    </font>
    <font>
      <sz val="10"/>
      <color theme="1"/>
      <name val="Arial"/>
      <family val="2"/>
    </font>
    <font>
      <sz val="10"/>
      <color theme="0" tint="-0.499984740745262"/>
      <name val="Arial"/>
      <family val="2"/>
    </font>
    <font>
      <i/>
      <sz val="10"/>
      <color theme="1"/>
      <name val="Arial"/>
      <family val="2"/>
    </font>
    <font>
      <sz val="10"/>
      <color rgb="FF323232"/>
      <name val="Arial"/>
      <family val="2"/>
    </font>
    <font>
      <b/>
      <sz val="10"/>
      <color theme="0"/>
      <name val="Arial"/>
      <family val="2"/>
    </font>
    <font>
      <sz val="10"/>
      <color theme="0"/>
      <name val="Arial"/>
      <family val="2"/>
    </font>
    <font>
      <b/>
      <sz val="9"/>
      <color indexed="81"/>
      <name val="Arial"/>
      <family val="2"/>
    </font>
    <font>
      <sz val="9"/>
      <color indexed="81"/>
      <name val="Arial"/>
      <family val="2"/>
    </font>
    <font>
      <b/>
      <sz val="9"/>
      <color indexed="81"/>
      <name val="Tahoma"/>
      <family val="2"/>
    </font>
    <font>
      <sz val="9"/>
      <color indexed="81"/>
      <name val="Tahoma"/>
      <family val="2"/>
    </font>
    <font>
      <u/>
      <sz val="11"/>
      <color theme="11"/>
      <name val="Calibri"/>
      <family val="2"/>
      <scheme val="minor"/>
    </font>
    <font>
      <sz val="11"/>
      <color theme="4" tint="-0.249977111117893"/>
      <name val="Calibri"/>
      <family val="2"/>
      <scheme val="minor"/>
    </font>
    <font>
      <sz val="9"/>
      <color indexed="81"/>
      <name val="Calibri"/>
      <family val="2"/>
    </font>
    <font>
      <b/>
      <sz val="9"/>
      <color indexed="81"/>
      <name val="Calibri"/>
      <family val="2"/>
    </font>
    <font>
      <sz val="11"/>
      <color theme="1"/>
      <name val="Arial"/>
      <family val="2"/>
    </font>
    <font>
      <b/>
      <sz val="11"/>
      <color indexed="8"/>
      <name val="Calibri"/>
      <family val="2"/>
      <scheme val="minor"/>
    </font>
  </fonts>
  <fills count="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3"/>
        <bgColor indexed="64"/>
      </patternFill>
    </fill>
    <fill>
      <patternFill patternType="solid">
        <fgColor theme="4"/>
        <bgColor indexed="64"/>
      </patternFill>
    </fill>
    <fill>
      <patternFill patternType="solid">
        <fgColor theme="7"/>
        <bgColor indexed="64"/>
      </patternFill>
    </fill>
    <fill>
      <patternFill patternType="solid">
        <fgColor theme="9"/>
        <bgColor indexed="64"/>
      </patternFill>
    </fill>
    <fill>
      <patternFill patternType="solid">
        <fgColor rgb="FFFFFF00"/>
        <bgColor indexed="64"/>
      </patternFill>
    </fill>
    <fill>
      <patternFill patternType="solid">
        <fgColor theme="7" tint="0.79998168889431442"/>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medium">
        <color auto="1"/>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auto="1"/>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diagonal/>
    </border>
  </borders>
  <cellStyleXfs count="36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70" fontId="18" fillId="0" borderId="0" applyFont="0" applyFill="0" applyBorder="0" applyAlignment="0" applyProtection="0"/>
    <xf numFmtId="0" fontId="18" fillId="0" borderId="0"/>
    <xf numFmtId="0" fontId="40" fillId="0" borderId="0">
      <alignment vertical="top"/>
    </xf>
    <xf numFmtId="0" fontId="40"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41" fillId="52" borderId="0" applyNumberFormat="0" applyBorder="0" applyAlignment="0" applyProtection="0"/>
    <xf numFmtId="0" fontId="20" fillId="52" borderId="0" applyNumberFormat="0" applyBorder="0" applyAlignment="0" applyProtection="0"/>
    <xf numFmtId="0" fontId="41"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41"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41"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42" fillId="40" borderId="0" applyNumberFormat="0" applyBorder="0" applyAlignment="0" applyProtection="0"/>
    <xf numFmtId="0" fontId="43" fillId="54" borderId="0" applyNumberFormat="0" applyBorder="0" applyAlignment="0" applyProtection="0"/>
    <xf numFmtId="0" fontId="42" fillId="54"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3" fillId="55" borderId="0" applyNumberFormat="0" applyBorder="0" applyAlignment="0" applyProtection="0"/>
    <xf numFmtId="0" fontId="42" fillId="55" borderId="0" applyNumberFormat="0" applyBorder="0" applyAlignment="0" applyProtection="0"/>
    <xf numFmtId="0" fontId="42" fillId="42" borderId="0" applyNumberFormat="0" applyBorder="0" applyAlignment="0" applyProtection="0"/>
    <xf numFmtId="0" fontId="42" fillId="40" borderId="0" applyNumberFormat="0" applyBorder="0" applyAlignment="0" applyProtection="0"/>
    <xf numFmtId="0" fontId="42" fillId="54"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55"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2" fillId="41" borderId="0" applyNumberFormat="0" applyBorder="0" applyAlignment="0" applyProtection="0"/>
    <xf numFmtId="0" fontId="43" fillId="55"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2" fillId="56" borderId="0" applyNumberFormat="0" applyBorder="0" applyAlignment="0" applyProtection="0"/>
    <xf numFmtId="0" fontId="18" fillId="0" borderId="0" applyNumberFormat="0" applyFill="0" applyBorder="0" applyAlignment="0" applyProtection="0"/>
    <xf numFmtId="0" fontId="44" fillId="46" borderId="21" applyNumberFormat="0" applyAlignment="0" applyProtection="0"/>
    <xf numFmtId="0" fontId="45" fillId="57" borderId="22"/>
    <xf numFmtId="0" fontId="46" fillId="58" borderId="23">
      <alignment horizontal="right" vertical="top" wrapText="1"/>
    </xf>
    <xf numFmtId="0" fontId="47" fillId="46" borderId="21" applyNumberFormat="0" applyAlignment="0" applyProtection="0"/>
    <xf numFmtId="0" fontId="45" fillId="0" borderId="20"/>
    <xf numFmtId="0" fontId="48" fillId="0" borderId="24" applyNumberFormat="0" applyFill="0" applyAlignment="0" applyProtection="0"/>
    <xf numFmtId="0" fontId="49" fillId="59" borderId="25" applyNumberFormat="0" applyAlignment="0" applyProtection="0"/>
    <xf numFmtId="0" fontId="50" fillId="59" borderId="25" applyNumberFormat="0" applyAlignment="0" applyProtection="0"/>
    <xf numFmtId="0" fontId="51" fillId="50" borderId="0">
      <alignment horizontal="center"/>
    </xf>
    <xf numFmtId="0" fontId="52" fillId="50" borderId="0">
      <alignment horizontal="center" vertical="center"/>
    </xf>
    <xf numFmtId="0" fontId="42"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2" fillId="41"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18" fillId="60" borderId="0">
      <alignment horizontal="center" wrapText="1"/>
    </xf>
    <xf numFmtId="0" fontId="53" fillId="50" borderId="0">
      <alignment horizontal="center"/>
    </xf>
    <xf numFmtId="171" fontId="41" fillId="0" borderId="0" applyFont="0" applyFill="0" applyBorder="0" applyAlignment="0" applyProtection="0"/>
    <xf numFmtId="170" fontId="18" fillId="0" borderId="0" applyFont="0" applyFill="0" applyBorder="0" applyAlignment="0" applyProtection="0"/>
    <xf numFmtId="170" fontId="20" fillId="0" borderId="0" applyFont="0" applyFill="0" applyBorder="0" applyAlignment="0" applyProtection="0"/>
    <xf numFmtId="3" fontId="18" fillId="0" borderId="0" applyFont="0" applyFill="0" applyBorder="0" applyAlignment="0" applyProtection="0"/>
    <xf numFmtId="0" fontId="50" fillId="59" borderId="25" applyNumberFormat="0" applyAlignment="0" applyProtection="0"/>
    <xf numFmtId="172" fontId="18" fillId="0" borderId="0" applyFont="0" applyFill="0" applyBorder="0" applyAlignment="0" applyProtection="0"/>
    <xf numFmtId="0" fontId="54" fillId="51" borderId="22" applyBorder="0">
      <protection locked="0"/>
    </xf>
    <xf numFmtId="0" fontId="18" fillId="0" borderId="0" applyFont="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0" fontId="55" fillId="51" borderId="22">
      <protection locked="0"/>
    </xf>
    <xf numFmtId="0" fontId="18" fillId="51" borderId="20"/>
    <xf numFmtId="0" fontId="18" fillId="50" borderId="0"/>
    <xf numFmtId="175" fontId="18" fillId="0" borderId="0" applyFont="0" applyFill="0" applyBorder="0" applyAlignment="0" applyProtection="0"/>
    <xf numFmtId="0" fontId="56" fillId="0" borderId="0" applyNumberFormat="0" applyFill="0" applyBorder="0" applyAlignment="0" applyProtection="0"/>
    <xf numFmtId="2" fontId="18" fillId="0" borderId="0" applyFont="0" applyFill="0" applyBorder="0" applyAlignment="0" applyProtection="0"/>
    <xf numFmtId="0" fontId="57" fillId="50" borderId="20">
      <alignment horizontal="left"/>
    </xf>
    <xf numFmtId="0" fontId="40" fillId="50" borderId="0">
      <alignment horizontal="left"/>
    </xf>
    <xf numFmtId="0" fontId="58" fillId="0" borderId="24" applyNumberFormat="0" applyFill="0" applyAlignment="0" applyProtection="0"/>
    <xf numFmtId="0" fontId="59" fillId="35" borderId="0" applyNumberFormat="0" applyBorder="0" applyAlignment="0" applyProtection="0"/>
    <xf numFmtId="0" fontId="59" fillId="35" borderId="0" applyNumberFormat="0" applyBorder="0" applyAlignment="0" applyProtection="0"/>
    <xf numFmtId="0" fontId="46" fillId="61" borderId="0">
      <alignment horizontal="right" vertical="top" wrapText="1"/>
    </xf>
    <xf numFmtId="0" fontId="60" fillId="0" borderId="0" applyNumberFormat="0" applyFill="0" applyBorder="0" applyAlignment="0" applyProtection="0">
      <alignment vertical="top"/>
      <protection locked="0"/>
    </xf>
    <xf numFmtId="0" fontId="61" fillId="53" borderId="21" applyNumberFormat="0" applyAlignment="0" applyProtection="0"/>
    <xf numFmtId="0" fontId="61" fillId="53" borderId="21" applyNumberFormat="0" applyAlignment="0" applyProtection="0"/>
    <xf numFmtId="0" fontId="62" fillId="60" borderId="0">
      <alignment horizontal="center"/>
    </xf>
    <xf numFmtId="0" fontId="18" fillId="50" borderId="20">
      <alignment horizontal="centerContinuous" wrapText="1"/>
    </xf>
    <xf numFmtId="0" fontId="63" fillId="62" borderId="0">
      <alignment horizontal="center" wrapText="1"/>
    </xf>
    <xf numFmtId="171" fontId="41" fillId="0" borderId="0" applyFont="0" applyFill="0" applyBorder="0" applyAlignment="0" applyProtection="0"/>
    <xf numFmtId="0" fontId="64" fillId="0" borderId="11" applyNumberFormat="0" applyFill="0" applyAlignment="0" applyProtection="0"/>
    <xf numFmtId="0" fontId="65" fillId="0" borderId="26" applyNumberFormat="0" applyFill="0" applyAlignment="0" applyProtection="0"/>
    <xf numFmtId="0" fontId="66" fillId="0" borderId="12" applyNumberFormat="0" applyFill="0" applyAlignment="0" applyProtection="0"/>
    <xf numFmtId="0" fontId="66" fillId="0" borderId="0" applyNumberFormat="0" applyFill="0" applyBorder="0" applyAlignment="0" applyProtection="0"/>
    <xf numFmtId="0" fontId="45" fillId="50" borderId="27">
      <alignment wrapText="1"/>
    </xf>
    <xf numFmtId="0" fontId="45" fillId="50" borderId="15"/>
    <xf numFmtId="0" fontId="45" fillId="50" borderId="28"/>
    <xf numFmtId="0" fontId="45" fillId="50" borderId="29">
      <alignment horizontal="center" wrapText="1"/>
    </xf>
    <xf numFmtId="0" fontId="58" fillId="0" borderId="24"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8"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41" fillId="0" borderId="0"/>
    <xf numFmtId="0" fontId="20" fillId="0" borderId="0"/>
    <xf numFmtId="0" fontId="41" fillId="0" borderId="0"/>
    <xf numFmtId="0" fontId="41" fillId="0" borderId="0"/>
    <xf numFmtId="0" fontId="18" fillId="0" borderId="0"/>
    <xf numFmtId="0" fontId="41" fillId="0" borderId="0"/>
    <xf numFmtId="0" fontId="20" fillId="0" borderId="0"/>
    <xf numFmtId="0" fontId="41"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40" fillId="0" borderId="0"/>
    <xf numFmtId="0" fontId="20" fillId="64" borderId="30" applyNumberFormat="0" applyFont="0" applyAlignment="0" applyProtection="0"/>
    <xf numFmtId="0" fontId="20" fillId="64" borderId="30" applyNumberFormat="0" applyFont="0" applyAlignment="0" applyProtection="0"/>
    <xf numFmtId="0" fontId="41" fillId="64" borderId="30" applyNumberFormat="0" applyFont="0" applyAlignment="0" applyProtection="0"/>
    <xf numFmtId="0" fontId="69"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45" fillId="50" borderId="20"/>
    <xf numFmtId="0" fontId="52" fillId="50" borderId="0">
      <alignment horizontal="right"/>
    </xf>
    <xf numFmtId="0" fontId="70" fillId="62" borderId="0">
      <alignment horizontal="center"/>
    </xf>
    <xf numFmtId="0" fontId="71" fillId="61" borderId="20">
      <alignment horizontal="left" vertical="top" wrapText="1"/>
    </xf>
    <xf numFmtId="0" fontId="72" fillId="61" borderId="31">
      <alignment horizontal="left" vertical="top" wrapText="1"/>
    </xf>
    <xf numFmtId="0" fontId="71" fillId="61" borderId="32">
      <alignment horizontal="left" vertical="top" wrapText="1"/>
    </xf>
    <xf numFmtId="0" fontId="71" fillId="61" borderId="31">
      <alignment horizontal="left" vertical="top"/>
    </xf>
    <xf numFmtId="0" fontId="18" fillId="65" borderId="0" applyNumberFormat="0" applyFont="0" applyBorder="0" applyProtection="0">
      <alignment horizontal="left" vertical="center"/>
    </xf>
    <xf numFmtId="0" fontId="18" fillId="0" borderId="33" applyNumberFormat="0" applyFill="0" applyProtection="0">
      <alignment horizontal="left" vertical="center" wrapText="1" indent="1"/>
    </xf>
    <xf numFmtId="176" fontId="18" fillId="0" borderId="33"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4" applyNumberFormat="0" applyFill="0" applyProtection="0">
      <alignment horizontal="left" vertical="center" wrapText="1"/>
    </xf>
    <xf numFmtId="0" fontId="18" fillId="0" borderId="34" applyNumberFormat="0" applyFill="0" applyProtection="0">
      <alignment horizontal="left" vertical="center" wrapText="1" indent="1"/>
    </xf>
    <xf numFmtId="176" fontId="18" fillId="0" borderId="34"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73" fillId="0" borderId="0" applyNumberFormat="0" applyFill="0" applyBorder="0" applyProtection="0">
      <alignment horizontal="left" vertical="center" wrapText="1"/>
    </xf>
    <xf numFmtId="0" fontId="73" fillId="0" borderId="0" applyNumberFormat="0" applyFill="0" applyBorder="0" applyProtection="0">
      <alignment horizontal="left" vertical="center" wrapText="1"/>
    </xf>
    <xf numFmtId="0" fontId="74" fillId="0" borderId="0" applyNumberFormat="0" applyFill="0" applyBorder="0" applyProtection="0">
      <alignment vertical="center" wrapText="1"/>
    </xf>
    <xf numFmtId="0" fontId="18" fillId="0" borderId="35" applyNumberFormat="0" applyFont="0" applyFill="0" applyProtection="0">
      <alignment horizontal="center" vertical="center" wrapText="1"/>
    </xf>
    <xf numFmtId="0" fontId="73" fillId="0" borderId="35" applyNumberFormat="0" applyFill="0" applyProtection="0">
      <alignment horizontal="center" vertical="center" wrapText="1"/>
    </xf>
    <xf numFmtId="0" fontId="73" fillId="0" borderId="35" applyNumberFormat="0" applyFill="0" applyProtection="0">
      <alignment horizontal="center" vertical="center" wrapText="1"/>
    </xf>
    <xf numFmtId="0" fontId="18" fillId="0" borderId="33" applyNumberFormat="0" applyFill="0" applyProtection="0">
      <alignment horizontal="left" vertical="center" wrapText="1"/>
    </xf>
    <xf numFmtId="0" fontId="41" fillId="0" borderId="0"/>
    <xf numFmtId="0" fontId="75" fillId="0" borderId="0"/>
    <xf numFmtId="0" fontId="18" fillId="0" borderId="0"/>
    <xf numFmtId="0" fontId="18" fillId="0" borderId="0">
      <alignment horizontal="left" wrapText="1"/>
    </xf>
    <xf numFmtId="0" fontId="18" fillId="0" borderId="0">
      <alignment vertical="top"/>
    </xf>
    <xf numFmtId="0" fontId="76" fillId="0" borderId="36"/>
    <xf numFmtId="0" fontId="77" fillId="0" borderId="0"/>
    <xf numFmtId="0" fontId="78" fillId="0" borderId="0">
      <alignment horizontal="left" vertical="top"/>
    </xf>
    <xf numFmtId="0" fontId="51" fillId="50" borderId="0">
      <alignment horizontal="center"/>
    </xf>
    <xf numFmtId="0" fontId="79" fillId="0" borderId="0" applyNumberFormat="0" applyFill="0" applyBorder="0" applyAlignment="0" applyProtection="0"/>
    <xf numFmtId="0" fontId="80" fillId="0" borderId="0" applyNumberFormat="0" applyFill="0" applyBorder="0" applyAlignment="0" applyProtection="0"/>
    <xf numFmtId="0" fontId="81" fillId="0" borderId="0">
      <alignment vertical="top"/>
    </xf>
    <xf numFmtId="0" fontId="82" fillId="50" borderId="0"/>
    <xf numFmtId="0" fontId="83" fillId="0" borderId="0" applyNumberFormat="0" applyFill="0" applyBorder="0" applyAlignment="0" applyProtection="0"/>
    <xf numFmtId="0" fontId="84" fillId="0" borderId="11" applyNumberFormat="0" applyFill="0" applyAlignment="0" applyProtection="0"/>
    <xf numFmtId="0" fontId="85" fillId="0" borderId="26" applyNumberFormat="0" applyFill="0" applyAlignment="0" applyProtection="0"/>
    <xf numFmtId="0" fontId="86" fillId="0" borderId="12" applyNumberFormat="0" applyFill="0" applyAlignment="0" applyProtection="0"/>
    <xf numFmtId="0" fontId="86" fillId="0" borderId="0" applyNumberFormat="0" applyFill="0" applyBorder="0" applyAlignment="0" applyProtection="0"/>
    <xf numFmtId="0" fontId="83" fillId="0" borderId="0" applyNumberFormat="0" applyFill="0" applyBorder="0" applyAlignment="0" applyProtection="0"/>
    <xf numFmtId="0" fontId="87" fillId="0" borderId="13" applyNumberFormat="0" applyFill="0" applyAlignment="0" applyProtection="0"/>
    <xf numFmtId="0" fontId="88" fillId="0" borderId="13" applyNumberFormat="0" applyFill="0" applyAlignment="0" applyProtection="0"/>
    <xf numFmtId="0" fontId="89" fillId="46" borderId="37" applyNumberFormat="0" applyAlignment="0" applyProtection="0"/>
    <xf numFmtId="0" fontId="90" fillId="34" borderId="0" applyNumberFormat="0" applyBorder="0" applyAlignment="0" applyProtection="0"/>
    <xf numFmtId="0" fontId="91" fillId="35" borderId="0" applyNumberFormat="0" applyBorder="0" applyAlignment="0" applyProtection="0"/>
    <xf numFmtId="0" fontId="56" fillId="0" borderId="0" applyNumberFormat="0" applyFill="0" applyBorder="0" applyAlignment="0" applyProtection="0"/>
    <xf numFmtId="0" fontId="92"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alignment vertical="top"/>
      <protection locked="0"/>
    </xf>
    <xf numFmtId="0" fontId="105"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cellStyleXfs>
  <cellXfs count="172">
    <xf numFmtId="0" fontId="0" fillId="0" borderId="0" xfId="0"/>
    <xf numFmtId="0" fontId="0" fillId="0" borderId="0" xfId="0" applyAlignment="1">
      <alignment horizontal="center" textRotation="90" wrapText="1"/>
    </xf>
    <xf numFmtId="166" fontId="1" fillId="23" borderId="10" xfId="31" applyNumberFormat="1" applyBorder="1" applyAlignment="1">
      <alignment horizontal="center" vertical="center"/>
    </xf>
    <xf numFmtId="166" fontId="13" fillId="24" borderId="10" xfId="32" applyNumberFormat="1" applyFont="1" applyBorder="1" applyAlignment="1">
      <alignment horizontal="center" vertical="center"/>
    </xf>
    <xf numFmtId="166" fontId="1" fillId="11" borderId="10" xfId="19" applyNumberFormat="1" applyBorder="1" applyAlignment="1">
      <alignment horizontal="center" vertical="center"/>
    </xf>
    <xf numFmtId="166" fontId="13" fillId="21" borderId="0" xfId="29" applyNumberFormat="1" applyFont="1" applyAlignment="1">
      <alignment horizontal="center" vertical="center"/>
    </xf>
    <xf numFmtId="166" fontId="17" fillId="12" borderId="0" xfId="20" applyNumberFormat="1" applyBorder="1" applyAlignment="1">
      <alignment horizontal="center" vertical="center"/>
    </xf>
    <xf numFmtId="166" fontId="17" fillId="9" borderId="10" xfId="17" applyNumberFormat="1" applyBorder="1" applyAlignment="1">
      <alignment horizontal="center"/>
    </xf>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166" fontId="26" fillId="49" borderId="17" xfId="0" applyNumberFormat="1" applyFont="1" applyFill="1" applyBorder="1" applyAlignment="1">
      <alignment horizontal="center" vertical="center"/>
    </xf>
    <xf numFmtId="166" fontId="1" fillId="27" borderId="10" xfId="35" applyNumberFormat="1" applyBorder="1" applyAlignment="1">
      <alignment horizontal="center" vertical="center"/>
    </xf>
    <xf numFmtId="166" fontId="17" fillId="25" borderId="14" xfId="33" applyNumberFormat="1" applyBorder="1" applyAlignment="1">
      <alignment horizontal="center" vertical="center"/>
    </xf>
    <xf numFmtId="166" fontId="13" fillId="9" borderId="10" xfId="17" applyNumberFormat="1" applyFont="1" applyBorder="1" applyAlignment="1">
      <alignment horizontal="center"/>
    </xf>
    <xf numFmtId="0" fontId="0" fillId="0" borderId="0" xfId="0"/>
    <xf numFmtId="0" fontId="93" fillId="0" borderId="0" xfId="286" applyAlignment="1" applyProtection="1"/>
    <xf numFmtId="0" fontId="17" fillId="48" borderId="0" xfId="0" applyFont="1" applyFill="1" applyBorder="1" applyAlignment="1">
      <alignment horizontal="right" wrapText="1"/>
    </xf>
    <xf numFmtId="0" fontId="98" fillId="47" borderId="0" xfId="34" applyFont="1" applyFill="1" applyBorder="1" applyAlignment="1">
      <alignment horizontal="center" vertical="center"/>
    </xf>
    <xf numFmtId="0" fontId="98" fillId="47" borderId="0" xfId="34" applyFont="1" applyFill="1" applyBorder="1" applyAlignment="1">
      <alignment horizontal="center" vertical="center" wrapText="1"/>
    </xf>
    <xf numFmtId="168" fontId="98" fillId="47" borderId="0" xfId="74" applyNumberFormat="1" applyFont="1" applyFill="1" applyBorder="1" applyAlignment="1">
      <alignment horizontal="center" vertical="center" wrapText="1"/>
    </xf>
    <xf numFmtId="0" fontId="98" fillId="47" borderId="0" xfId="34" applyFont="1" applyFill="1" applyBorder="1" applyAlignment="1">
      <alignment horizontal="center" vertical="center" textRotation="90" wrapText="1"/>
    </xf>
    <xf numFmtId="10" fontId="98" fillId="47" borderId="0" xfId="73" applyNumberFormat="1" applyFont="1" applyFill="1" applyBorder="1" applyAlignment="1">
      <alignment horizontal="center" vertical="center" wrapText="1"/>
    </xf>
    <xf numFmtId="9" fontId="98" fillId="47" borderId="0" xfId="73" applyFont="1" applyFill="1" applyBorder="1" applyAlignment="1">
      <alignment horizontal="center" vertical="center" wrapText="1"/>
    </xf>
    <xf numFmtId="0" fontId="13" fillId="48" borderId="0" xfId="20" applyFont="1" applyFill="1" applyBorder="1"/>
    <xf numFmtId="0" fontId="19" fillId="48" borderId="0" xfId="18" applyFont="1" applyFill="1" applyBorder="1"/>
    <xf numFmtId="0" fontId="1" fillId="48" borderId="0" xfId="19" applyFill="1" applyBorder="1"/>
    <xf numFmtId="0" fontId="98" fillId="48" borderId="0" xfId="34" applyFont="1" applyFill="1" applyBorder="1" applyAlignment="1">
      <alignment horizontal="center" vertical="center"/>
    </xf>
    <xf numFmtId="0" fontId="0" fillId="11" borderId="38" xfId="19" applyFont="1" applyBorder="1" applyAlignment="1">
      <alignment horizontal="center" textRotation="90" wrapText="1"/>
    </xf>
    <xf numFmtId="0" fontId="0" fillId="11" borderId="39" xfId="19" applyFont="1" applyBorder="1" applyAlignment="1">
      <alignment horizontal="center" textRotation="90" wrapText="1"/>
    </xf>
    <xf numFmtId="0" fontId="13" fillId="12" borderId="39" xfId="20" applyFont="1" applyBorder="1" applyAlignment="1">
      <alignment horizontal="center" textRotation="90" wrapText="1"/>
    </xf>
    <xf numFmtId="0" fontId="13" fillId="9" borderId="39" xfId="17" applyFont="1" applyBorder="1" applyAlignment="1">
      <alignment horizontal="center" textRotation="90" wrapText="1"/>
    </xf>
    <xf numFmtId="3" fontId="1" fillId="26" borderId="10" xfId="34" applyNumberFormat="1" applyBorder="1" applyAlignment="1">
      <alignment horizontal="right" vertical="center"/>
    </xf>
    <xf numFmtId="166" fontId="17" fillId="25" borderId="0" xfId="33" applyNumberFormat="1" applyBorder="1" applyAlignment="1">
      <alignment horizontal="center" vertical="center"/>
    </xf>
    <xf numFmtId="0" fontId="98" fillId="47" borderId="0" xfId="0" applyFont="1" applyFill="1" applyAlignment="1">
      <alignment horizontal="center" vertical="center"/>
    </xf>
    <xf numFmtId="9" fontId="98" fillId="47" borderId="0" xfId="73" applyFont="1" applyFill="1" applyAlignment="1">
      <alignment horizontal="center" vertical="center"/>
    </xf>
    <xf numFmtId="167" fontId="98" fillId="47" borderId="0" xfId="73" applyNumberFormat="1" applyFont="1" applyFill="1" applyAlignment="1">
      <alignment horizontal="center" vertical="center"/>
    </xf>
    <xf numFmtId="10" fontId="1" fillId="26" borderId="10" xfId="34" applyNumberFormat="1" applyBorder="1" applyAlignment="1">
      <alignment horizontal="right" vertical="center"/>
    </xf>
    <xf numFmtId="169" fontId="1" fillId="26" borderId="10" xfId="73" applyNumberFormat="1" applyFill="1" applyBorder="1" applyAlignment="1">
      <alignment horizontal="right" vertical="center"/>
    </xf>
    <xf numFmtId="9" fontId="98" fillId="47" borderId="0" xfId="73" applyNumberFormat="1" applyFont="1" applyFill="1" applyAlignment="1">
      <alignment horizontal="center" vertical="center"/>
    </xf>
    <xf numFmtId="0" fontId="13" fillId="48" borderId="0" xfId="17" applyFont="1" applyFill="1" applyBorder="1"/>
    <xf numFmtId="166" fontId="17" fillId="29" borderId="14" xfId="37" applyNumberFormat="1" applyBorder="1" applyAlignment="1">
      <alignment horizontal="center" vertical="center"/>
    </xf>
    <xf numFmtId="0" fontId="1" fillId="27" borderId="39" xfId="35" applyBorder="1" applyAlignment="1">
      <alignment horizontal="center" textRotation="90" wrapText="1"/>
    </xf>
    <xf numFmtId="0" fontId="17" fillId="25" borderId="38" xfId="33" applyBorder="1" applyAlignment="1">
      <alignment horizontal="center" textRotation="90" wrapText="1"/>
    </xf>
    <xf numFmtId="0" fontId="0" fillId="26" borderId="39" xfId="34" applyFont="1" applyBorder="1" applyAlignment="1">
      <alignment horizontal="center" textRotation="90" wrapText="1"/>
    </xf>
    <xf numFmtId="0" fontId="0" fillId="27" borderId="39" xfId="35" applyFont="1" applyBorder="1" applyAlignment="1">
      <alignment horizontal="center" textRotation="90" wrapText="1"/>
    </xf>
    <xf numFmtId="0" fontId="1" fillId="26" borderId="39" xfId="34" applyBorder="1" applyAlignment="1">
      <alignment horizontal="center" textRotation="90" wrapText="1"/>
    </xf>
    <xf numFmtId="0" fontId="17" fillId="28" borderId="38" xfId="36" applyBorder="1" applyAlignment="1">
      <alignment horizontal="center" textRotation="90" wrapText="1"/>
    </xf>
    <xf numFmtId="166" fontId="17" fillId="28" borderId="14" xfId="36" applyNumberFormat="1" applyBorder="1" applyAlignment="1">
      <alignment horizontal="center" vertical="center"/>
    </xf>
    <xf numFmtId="0" fontId="17" fillId="29" borderId="38" xfId="37" applyBorder="1" applyAlignment="1">
      <alignment horizontal="center" textRotation="90" wrapText="1"/>
    </xf>
    <xf numFmtId="0" fontId="13" fillId="29" borderId="40" xfId="37" applyFont="1" applyBorder="1" applyAlignment="1">
      <alignment horizontal="center" textRotation="90" wrapText="1"/>
    </xf>
    <xf numFmtId="166" fontId="13" fillId="29" borderId="0" xfId="37" applyNumberFormat="1" applyFont="1" applyBorder="1" applyAlignment="1">
      <alignment horizontal="center" vertical="center"/>
    </xf>
    <xf numFmtId="0" fontId="1" fillId="10" borderId="38" xfId="18" applyBorder="1" applyAlignment="1">
      <alignment horizontal="center" textRotation="90" wrapText="1"/>
    </xf>
    <xf numFmtId="10" fontId="1" fillId="10" borderId="14" xfId="18" applyNumberFormat="1" applyBorder="1" applyAlignment="1">
      <alignment horizontal="center" vertical="center"/>
    </xf>
    <xf numFmtId="0" fontId="0" fillId="48" borderId="0" xfId="0" applyFill="1" applyAlignment="1">
      <alignment textRotation="90"/>
    </xf>
    <xf numFmtId="166" fontId="99" fillId="47" borderId="0" xfId="31" applyNumberFormat="1" applyFont="1" applyFill="1" applyBorder="1" applyAlignment="1">
      <alignment horizontal="center" vertical="center" wrapText="1"/>
    </xf>
    <xf numFmtId="0" fontId="37" fillId="47" borderId="0" xfId="32" applyFont="1" applyFill="1" applyBorder="1" applyAlignment="1">
      <alignment horizontal="center" vertical="center" wrapText="1"/>
    </xf>
    <xf numFmtId="166" fontId="98" fillId="47" borderId="0" xfId="31" applyNumberFormat="1" applyFont="1" applyFill="1" applyBorder="1" applyAlignment="1">
      <alignment horizontal="center" vertical="center" wrapText="1"/>
    </xf>
    <xf numFmtId="0" fontId="98" fillId="47" borderId="0" xfId="31" applyFont="1" applyFill="1" applyBorder="1" applyAlignment="1">
      <alignment horizontal="center" vertical="center" wrapText="1"/>
    </xf>
    <xf numFmtId="1" fontId="98" fillId="47" borderId="0" xfId="31" applyNumberFormat="1" applyFont="1" applyFill="1" applyBorder="1" applyAlignment="1">
      <alignment horizontal="center" vertical="center" wrapText="1"/>
    </xf>
    <xf numFmtId="1" fontId="37" fillId="47" borderId="0" xfId="32" applyNumberFormat="1" applyFont="1" applyFill="1" applyBorder="1" applyAlignment="1">
      <alignment horizontal="center" vertical="center" wrapText="1"/>
    </xf>
    <xf numFmtId="0" fontId="0" fillId="23" borderId="39" xfId="31" applyFont="1" applyBorder="1" applyAlignment="1">
      <alignment horizontal="center" textRotation="90" wrapText="1"/>
    </xf>
    <xf numFmtId="0" fontId="13" fillId="24" borderId="39" xfId="32" applyFont="1" applyBorder="1" applyAlignment="1">
      <alignment horizontal="center" textRotation="90" wrapText="1"/>
    </xf>
    <xf numFmtId="0" fontId="13" fillId="21" borderId="40" xfId="29" applyFont="1" applyBorder="1" applyAlignment="1">
      <alignment horizontal="center" textRotation="90" wrapText="1"/>
    </xf>
    <xf numFmtId="2" fontId="97" fillId="0" borderId="0" xfId="0" applyNumberFormat="1" applyFont="1" applyAlignment="1">
      <alignment horizontal="right"/>
    </xf>
    <xf numFmtId="166" fontId="97" fillId="0" borderId="0" xfId="0" applyNumberFormat="1" applyFont="1" applyAlignment="1">
      <alignment horizontal="right"/>
    </xf>
    <xf numFmtId="1" fontId="97" fillId="0" borderId="0" xfId="0" applyNumberFormat="1" applyFont="1" applyAlignment="1">
      <alignment horizontal="right"/>
    </xf>
    <xf numFmtId="0" fontId="100" fillId="0" borderId="0" xfId="0" applyFont="1"/>
    <xf numFmtId="0" fontId="100" fillId="0" borderId="0" xfId="0" applyFont="1" applyAlignment="1">
      <alignment horizontal="center" vertical="center" wrapText="1"/>
    </xf>
    <xf numFmtId="0" fontId="0" fillId="48" borderId="0" xfId="0" applyFill="1" applyBorder="1" applyAlignment="1">
      <alignment horizontal="center"/>
    </xf>
    <xf numFmtId="0" fontId="13" fillId="48" borderId="0" xfId="32" applyFont="1" applyFill="1" applyBorder="1"/>
    <xf numFmtId="0" fontId="0" fillId="48" borderId="0" xfId="0" applyFill="1" applyAlignment="1"/>
    <xf numFmtId="0" fontId="0" fillId="48" borderId="0" xfId="0" applyFill="1" applyAlignment="1">
      <alignment horizontal="center" textRotation="90" wrapText="1"/>
    </xf>
    <xf numFmtId="0" fontId="38" fillId="48" borderId="0" xfId="0" applyFont="1" applyFill="1"/>
    <xf numFmtId="0" fontId="38" fillId="0" borderId="0" xfId="0" applyFont="1"/>
    <xf numFmtId="0" fontId="96" fillId="48" borderId="0" xfId="0" applyFont="1" applyFill="1" applyBorder="1" applyAlignment="1">
      <alignment vertical="center" wrapText="1"/>
    </xf>
    <xf numFmtId="0" fontId="95" fillId="48" borderId="0" xfId="0" applyFont="1" applyFill="1" applyBorder="1" applyAlignment="1">
      <alignment horizontal="center" vertical="center" wrapText="1"/>
    </xf>
    <xf numFmtId="0" fontId="103" fillId="0" borderId="0" xfId="286" applyFont="1" applyAlignment="1" applyProtection="1"/>
    <xf numFmtId="0" fontId="104" fillId="0" borderId="20" xfId="0" applyFont="1" applyFill="1" applyBorder="1" applyAlignment="1">
      <alignment vertical="top" wrapText="1"/>
    </xf>
    <xf numFmtId="0" fontId="104" fillId="48" borderId="0" xfId="0" applyFont="1" applyFill="1"/>
    <xf numFmtId="0" fontId="27" fillId="0" borderId="41" xfId="0" applyFont="1" applyFill="1" applyBorder="1" applyAlignment="1">
      <alignment horizontal="center"/>
    </xf>
    <xf numFmtId="0" fontId="104" fillId="66" borderId="20" xfId="0" applyFont="1" applyFill="1" applyBorder="1" applyAlignment="1">
      <alignment vertical="top" wrapText="1"/>
    </xf>
    <xf numFmtId="0" fontId="104" fillId="68" borderId="20" xfId="0" applyFont="1" applyFill="1" applyBorder="1" applyAlignment="1">
      <alignment vertical="top" wrapText="1"/>
    </xf>
    <xf numFmtId="0" fontId="104" fillId="67" borderId="20" xfId="0" applyFont="1" applyFill="1" applyBorder="1" applyAlignment="1">
      <alignment vertical="top" wrapText="1"/>
    </xf>
    <xf numFmtId="0" fontId="104" fillId="47" borderId="20" xfId="0" applyFont="1" applyFill="1" applyBorder="1" applyAlignment="1">
      <alignment vertical="top" wrapText="1"/>
    </xf>
    <xf numFmtId="0" fontId="103" fillId="0" borderId="0" xfId="286" quotePrefix="1" applyFont="1" applyAlignment="1" applyProtection="1"/>
    <xf numFmtId="0" fontId="100" fillId="0" borderId="0" xfId="0" applyFont="1" applyAlignment="1">
      <alignment vertical="center"/>
    </xf>
    <xf numFmtId="0" fontId="93" fillId="0" borderId="20" xfId="286" applyFill="1" applyBorder="1" applyAlignment="1" applyProtection="1">
      <alignment vertical="top" wrapText="1"/>
    </xf>
    <xf numFmtId="0" fontId="106" fillId="47" borderId="0" xfId="0" applyFont="1" applyFill="1" applyBorder="1" applyAlignment="1">
      <alignment horizontal="left" vertical="center" wrapText="1" indent="16"/>
    </xf>
    <xf numFmtId="0" fontId="107" fillId="47" borderId="0" xfId="0" applyFont="1" applyFill="1" applyBorder="1" applyAlignment="1">
      <alignment horizontal="right" wrapText="1"/>
    </xf>
    <xf numFmtId="0" fontId="97" fillId="48" borderId="0" xfId="0" applyFont="1" applyFill="1" applyBorder="1" applyAlignment="1">
      <alignment horizontal="left" wrapText="1" indent="1"/>
    </xf>
    <xf numFmtId="0" fontId="93" fillId="0" borderId="0" xfId="286" applyFill="1" applyBorder="1" applyAlignment="1" applyProtection="1">
      <alignment horizontal="left" vertical="center" wrapText="1" indent="1"/>
    </xf>
    <xf numFmtId="0" fontId="27" fillId="48" borderId="0" xfId="0" applyFont="1" applyFill="1" applyBorder="1" applyAlignment="1">
      <alignment horizontal="left" indent="1"/>
    </xf>
    <xf numFmtId="0" fontId="0" fillId="48" borderId="0" xfId="0" applyFill="1" applyBorder="1" applyAlignment="1">
      <alignment horizontal="left" wrapText="1" indent="1"/>
    </xf>
    <xf numFmtId="0" fontId="0" fillId="48" borderId="0" xfId="0" applyFill="1" applyBorder="1" applyAlignment="1">
      <alignment horizontal="left" indent="1"/>
    </xf>
    <xf numFmtId="0" fontId="101" fillId="48" borderId="20" xfId="0" applyFont="1" applyFill="1" applyBorder="1" applyAlignment="1">
      <alignment horizontal="left" wrapText="1" indent="1"/>
    </xf>
    <xf numFmtId="0" fontId="38" fillId="48" borderId="0" xfId="0" applyFont="1" applyFill="1" applyBorder="1" applyAlignment="1">
      <alignment horizontal="left" indent="1"/>
    </xf>
    <xf numFmtId="0" fontId="93" fillId="48" borderId="0" xfId="286" applyFill="1" applyAlignment="1" applyProtection="1">
      <alignment horizontal="left" indent="1"/>
    </xf>
    <xf numFmtId="0" fontId="94" fillId="48" borderId="0" xfId="0" applyFont="1" applyFill="1" applyBorder="1" applyAlignment="1">
      <alignment horizontal="left" indent="1"/>
    </xf>
    <xf numFmtId="0" fontId="94" fillId="48" borderId="0" xfId="0" applyFont="1" applyFill="1" applyBorder="1" applyAlignment="1">
      <alignment horizontal="left" wrapText="1" indent="1"/>
    </xf>
    <xf numFmtId="0" fontId="106" fillId="47" borderId="0" xfId="0" applyFont="1" applyFill="1" applyBorder="1" applyAlignment="1">
      <alignment horizontal="center" vertical="center" wrapText="1"/>
    </xf>
    <xf numFmtId="0" fontId="106" fillId="47" borderId="0" xfId="0" applyFont="1" applyFill="1" applyBorder="1" applyAlignment="1">
      <alignment vertical="center" wrapText="1"/>
    </xf>
    <xf numFmtId="0" fontId="31" fillId="48" borderId="19" xfId="3" applyFont="1" applyFill="1" applyBorder="1" applyAlignment="1">
      <alignment horizontal="center" textRotation="90" wrapText="1"/>
    </xf>
    <xf numFmtId="0" fontId="30" fillId="48" borderId="19" xfId="2" applyFont="1" applyFill="1" applyBorder="1" applyAlignment="1">
      <alignment horizontal="center" textRotation="90" wrapText="1"/>
    </xf>
    <xf numFmtId="0" fontId="36" fillId="48" borderId="19" xfId="4" applyFont="1" applyFill="1" applyBorder="1" applyAlignment="1">
      <alignment horizontal="center" textRotation="90" wrapText="1"/>
    </xf>
    <xf numFmtId="0" fontId="34" fillId="48" borderId="19" xfId="3" applyFont="1" applyFill="1" applyBorder="1" applyAlignment="1">
      <alignment horizontal="center" textRotation="90" wrapText="1"/>
    </xf>
    <xf numFmtId="0" fontId="29" fillId="48" borderId="19" xfId="2" applyFont="1" applyFill="1" applyBorder="1" applyAlignment="1">
      <alignment horizontal="center" textRotation="90" wrapText="1"/>
    </xf>
    <xf numFmtId="0" fontId="39" fillId="48" borderId="19" xfId="4" applyFont="1" applyFill="1" applyBorder="1" applyAlignment="1">
      <alignment horizontal="center" textRotation="90" wrapText="1"/>
    </xf>
    <xf numFmtId="0" fontId="35" fillId="48" borderId="19" xfId="3" applyFont="1" applyFill="1" applyBorder="1" applyAlignment="1">
      <alignment horizontal="center" textRotation="90" wrapText="1"/>
    </xf>
    <xf numFmtId="0" fontId="33" fillId="48" borderId="19" xfId="2" applyFont="1" applyFill="1" applyBorder="1" applyAlignment="1">
      <alignment horizontal="center" textRotation="90" wrapText="1"/>
    </xf>
    <xf numFmtId="0" fontId="32" fillId="48" borderId="19" xfId="2" applyFont="1" applyFill="1" applyBorder="1" applyAlignment="1">
      <alignment horizontal="center" textRotation="90" wrapText="1"/>
    </xf>
    <xf numFmtId="0" fontId="108" fillId="48" borderId="0" xfId="3" applyFont="1" applyFill="1" applyBorder="1" applyAlignment="1">
      <alignment horizontal="left" indent="1"/>
    </xf>
    <xf numFmtId="0" fontId="108" fillId="48" borderId="0" xfId="3" applyFont="1" applyFill="1" applyBorder="1" applyAlignment="1"/>
    <xf numFmtId="0" fontId="5" fillId="48" borderId="0" xfId="3" applyFont="1" applyFill="1" applyBorder="1"/>
    <xf numFmtId="0" fontId="27" fillId="48" borderId="16" xfId="0" applyFont="1" applyFill="1" applyBorder="1" applyAlignment="1">
      <alignment horizontal="left" indent="1"/>
    </xf>
    <xf numFmtId="0" fontId="28" fillId="48" borderId="18" xfId="3" applyFont="1" applyFill="1" applyBorder="1" applyAlignment="1">
      <alignment horizontal="left" indent="1"/>
    </xf>
    <xf numFmtId="0" fontId="16" fillId="48" borderId="0" xfId="0" applyFont="1" applyFill="1"/>
    <xf numFmtId="2" fontId="97" fillId="0" borderId="0" xfId="73" applyNumberFormat="1" applyFont="1" applyAlignment="1">
      <alignment horizontal="right"/>
    </xf>
    <xf numFmtId="0" fontId="0" fillId="74" borderId="39" xfId="31" applyFont="1" applyFill="1" applyBorder="1" applyAlignment="1">
      <alignment horizontal="center" textRotation="90" wrapText="1"/>
    </xf>
    <xf numFmtId="2" fontId="1" fillId="74" borderId="10" xfId="31" applyNumberFormat="1" applyFill="1" applyBorder="1" applyAlignment="1">
      <alignment horizontal="right" vertical="center"/>
    </xf>
    <xf numFmtId="0" fontId="38" fillId="73" borderId="0" xfId="0" applyFont="1" applyFill="1" applyBorder="1" applyAlignment="1">
      <alignment horizontal="left" vertical="center" wrapText="1" indent="1"/>
    </xf>
    <xf numFmtId="1" fontId="98" fillId="47" borderId="0" xfId="74" applyNumberFormat="1" applyFont="1" applyFill="1" applyBorder="1" applyAlignment="1">
      <alignment horizontal="right" vertical="center" wrapText="1"/>
    </xf>
    <xf numFmtId="0" fontId="104" fillId="73" borderId="20" xfId="0" applyFont="1" applyFill="1" applyBorder="1" applyAlignment="1">
      <alignment vertical="top" wrapText="1"/>
    </xf>
    <xf numFmtId="0" fontId="0" fillId="69" borderId="0" xfId="0" applyFill="1" applyAlignment="1"/>
    <xf numFmtId="0" fontId="110" fillId="0" borderId="0" xfId="0" applyFont="1" applyAlignment="1">
      <alignment horizontal="left" indent="1"/>
    </xf>
    <xf numFmtId="0" fontId="110" fillId="0" borderId="0" xfId="0" applyFont="1"/>
    <xf numFmtId="2" fontId="111" fillId="0" borderId="0" xfId="0" applyNumberFormat="1" applyFont="1" applyAlignment="1">
      <alignment horizontal="right"/>
    </xf>
    <xf numFmtId="0" fontId="110" fillId="0" borderId="0" xfId="0" applyFont="1" applyAlignment="1">
      <alignment horizontal="center" textRotation="90" wrapText="1"/>
    </xf>
    <xf numFmtId="0" fontId="112" fillId="0" borderId="0" xfId="0" applyFont="1" applyAlignment="1">
      <alignment horizontal="center" vertical="center" wrapText="1"/>
    </xf>
    <xf numFmtId="1" fontId="111" fillId="0" borderId="0" xfId="0" applyNumberFormat="1" applyFont="1" applyAlignment="1">
      <alignment horizontal="right"/>
    </xf>
    <xf numFmtId="166" fontId="111" fillId="0" borderId="0" xfId="0" applyNumberFormat="1" applyFont="1" applyAlignment="1">
      <alignment horizontal="right"/>
    </xf>
    <xf numFmtId="0" fontId="113" fillId="66" borderId="20" xfId="0" applyFont="1" applyFill="1" applyBorder="1" applyAlignment="1">
      <alignment horizontal="left" vertical="top" wrapText="1" indent="1"/>
    </xf>
    <xf numFmtId="1" fontId="0" fillId="0" borderId="0" xfId="0" applyNumberFormat="1"/>
    <xf numFmtId="0" fontId="0" fillId="10" borderId="38" xfId="18" applyFont="1" applyBorder="1" applyAlignment="1">
      <alignment horizontal="center" textRotation="90" wrapText="1"/>
    </xf>
    <xf numFmtId="166" fontId="1" fillId="11" borderId="14" xfId="19" applyNumberFormat="1" applyBorder="1" applyAlignment="1">
      <alignment horizontal="center" vertical="center"/>
    </xf>
    <xf numFmtId="0" fontId="114" fillId="12" borderId="39" xfId="20" applyFont="1" applyBorder="1" applyAlignment="1">
      <alignment horizontal="center" textRotation="90" wrapText="1"/>
    </xf>
    <xf numFmtId="166" fontId="115" fillId="12" borderId="42" xfId="20" applyNumberFormat="1" applyFont="1" applyBorder="1" applyAlignment="1">
      <alignment horizontal="center" vertical="center"/>
    </xf>
    <xf numFmtId="166" fontId="115" fillId="12" borderId="10" xfId="20" applyNumberFormat="1" applyFont="1" applyBorder="1" applyAlignment="1">
      <alignment horizontal="center" vertical="center"/>
    </xf>
    <xf numFmtId="166" fontId="114" fillId="9" borderId="10" xfId="17" applyNumberFormat="1" applyFont="1" applyBorder="1" applyAlignment="1">
      <alignment horizontal="center"/>
    </xf>
    <xf numFmtId="180" fontId="97" fillId="0" borderId="0" xfId="0" applyNumberFormat="1" applyFont="1" applyAlignment="1">
      <alignment horizontal="right"/>
    </xf>
    <xf numFmtId="1" fontId="0" fillId="48" borderId="0" xfId="0" applyNumberFormat="1" applyFill="1"/>
    <xf numFmtId="0" fontId="114" fillId="25" borderId="38" xfId="33" applyFont="1" applyBorder="1" applyAlignment="1">
      <alignment horizontal="center" textRotation="90" wrapText="1"/>
    </xf>
    <xf numFmtId="0" fontId="37" fillId="47" borderId="0" xfId="0" applyFont="1" applyFill="1" applyAlignment="1">
      <alignment horizontal="center" vertical="center"/>
    </xf>
    <xf numFmtId="166" fontId="1" fillId="27" borderId="14" xfId="35" applyNumberFormat="1" applyBorder="1" applyAlignment="1">
      <alignment horizontal="center" vertical="center"/>
    </xf>
    <xf numFmtId="0" fontId="0" fillId="27" borderId="38" xfId="35" applyFont="1" applyBorder="1" applyAlignment="1">
      <alignment horizontal="center" textRotation="90" wrapText="1"/>
    </xf>
    <xf numFmtId="0" fontId="16" fillId="27" borderId="39" xfId="35" applyFont="1" applyBorder="1" applyAlignment="1">
      <alignment horizontal="center" textRotation="90" wrapText="1"/>
    </xf>
    <xf numFmtId="0" fontId="16" fillId="27" borderId="38" xfId="35" applyFont="1" applyBorder="1" applyAlignment="1">
      <alignment horizontal="center" textRotation="90" wrapText="1"/>
    </xf>
    <xf numFmtId="0" fontId="121" fillId="48" borderId="19" xfId="3" applyFont="1" applyFill="1" applyBorder="1" applyAlignment="1">
      <alignment horizontal="center" textRotation="90" wrapText="1"/>
    </xf>
    <xf numFmtId="166" fontId="115" fillId="25" borderId="14" xfId="33" applyNumberFormat="1" applyFont="1" applyBorder="1" applyAlignment="1">
      <alignment horizontal="center" vertical="center"/>
    </xf>
    <xf numFmtId="166" fontId="0" fillId="27" borderId="14" xfId="35" applyNumberFormat="1" applyFont="1" applyBorder="1" applyAlignment="1">
      <alignment horizontal="center" vertical="center"/>
    </xf>
    <xf numFmtId="0" fontId="100" fillId="47" borderId="0" xfId="0" applyFont="1" applyFill="1" applyBorder="1"/>
    <xf numFmtId="0" fontId="110" fillId="0" borderId="0" xfId="0" applyFont="1" applyAlignment="1">
      <alignment horizontal="center" wrapText="1"/>
    </xf>
    <xf numFmtId="0" fontId="124" fillId="48" borderId="0" xfId="0" applyFont="1" applyFill="1"/>
    <xf numFmtId="1" fontId="124" fillId="48" borderId="0" xfId="0" applyNumberFormat="1" applyFont="1" applyFill="1"/>
    <xf numFmtId="0" fontId="1" fillId="22" borderId="39" xfId="30" applyBorder="1" applyAlignment="1">
      <alignment horizontal="center" textRotation="90" wrapText="1"/>
    </xf>
    <xf numFmtId="166" fontId="1" fillId="22" borderId="10" xfId="30" applyNumberFormat="1" applyBorder="1" applyAlignment="1">
      <alignment horizontal="center" vertical="center"/>
    </xf>
    <xf numFmtId="0" fontId="17" fillId="24" borderId="39" xfId="32" applyFont="1" applyBorder="1" applyAlignment="1">
      <alignment horizontal="center" textRotation="90" wrapText="1"/>
    </xf>
    <xf numFmtId="166" fontId="17" fillId="24" borderId="10" xfId="32" applyNumberFormat="1" applyFont="1" applyBorder="1" applyAlignment="1">
      <alignment horizontal="center" vertical="center"/>
    </xf>
    <xf numFmtId="166" fontId="125" fillId="49" borderId="17" xfId="0" applyNumberFormat="1" applyFont="1" applyFill="1" applyBorder="1" applyAlignment="1">
      <alignment horizontal="center" vertical="center"/>
    </xf>
    <xf numFmtId="0" fontId="13" fillId="25" borderId="40" xfId="33" applyFont="1" applyBorder="1" applyAlignment="1">
      <alignment horizontal="center" textRotation="90" wrapText="1"/>
    </xf>
    <xf numFmtId="0" fontId="0" fillId="48" borderId="0" xfId="0" applyFill="1" applyAlignment="1">
      <alignment horizontal="left" wrapText="1"/>
    </xf>
    <xf numFmtId="0" fontId="0" fillId="48" borderId="0" xfId="0" applyFill="1" applyAlignment="1">
      <alignment horizontal="left"/>
    </xf>
    <xf numFmtId="0" fontId="28" fillId="48" borderId="18" xfId="3" applyFont="1" applyFill="1" applyBorder="1" applyAlignment="1">
      <alignment horizontal="left" wrapText="1" indent="1"/>
    </xf>
    <xf numFmtId="181" fontId="0" fillId="0" borderId="0" xfId="0" applyNumberFormat="1"/>
    <xf numFmtId="0" fontId="109" fillId="47" borderId="28" xfId="0" applyFont="1" applyFill="1" applyBorder="1" applyAlignment="1">
      <alignment horizontal="center" vertical="center" wrapText="1"/>
    </xf>
    <xf numFmtId="0" fontId="25" fillId="69" borderId="0" xfId="68" applyFill="1" applyBorder="1" applyAlignment="1">
      <alignment horizontal="center"/>
    </xf>
    <xf numFmtId="0" fontId="0" fillId="70" borderId="0" xfId="0" applyFill="1" applyBorder="1" applyAlignment="1">
      <alignment horizontal="center"/>
    </xf>
    <xf numFmtId="0" fontId="0" fillId="72" borderId="0" xfId="0" applyFill="1" applyBorder="1" applyAlignment="1">
      <alignment horizontal="center"/>
    </xf>
    <xf numFmtId="0" fontId="0" fillId="71" borderId="0" xfId="0" applyFill="1" applyBorder="1" applyAlignment="1">
      <alignment horizontal="center"/>
    </xf>
    <xf numFmtId="0" fontId="0" fillId="69" borderId="0" xfId="0" applyFill="1" applyAlignment="1">
      <alignment horizontal="center"/>
    </xf>
    <xf numFmtId="0" fontId="0" fillId="69" borderId="28" xfId="0" applyFill="1" applyBorder="1" applyAlignment="1">
      <alignment horizontal="center"/>
    </xf>
  </cellXfs>
  <cellStyles count="366">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108">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i val="0"/>
      </font>
      <fill>
        <patternFill>
          <bgColor theme="8" tint="0.79998168889431442"/>
        </patternFill>
      </fill>
    </dxf>
    <dxf>
      <font>
        <b/>
        <i val="0"/>
      </font>
      <fill>
        <patternFill>
          <bgColor theme="8" tint="0.59996337778862885"/>
        </patternFill>
      </fill>
    </dxf>
    <dxf>
      <font>
        <b/>
        <i val="0"/>
        <color theme="0"/>
      </font>
      <fill>
        <patternFill>
          <bgColor theme="8"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val="0"/>
        <i val="0"/>
      </font>
      <fill>
        <patternFill>
          <bgColor theme="4" tint="0.79998168889431442"/>
        </patternFill>
      </fill>
    </dxf>
    <dxf>
      <font>
        <b val="0"/>
        <i val="0"/>
      </font>
      <fill>
        <patternFill>
          <bgColor theme="4" tint="0.59996337778862885"/>
        </patternFill>
      </fill>
    </dxf>
    <dxf>
      <font>
        <b val="0"/>
        <i val="0"/>
      </font>
      <fill>
        <patternFill>
          <bgColor theme="4" tint="0.39994506668294322"/>
        </patternFill>
      </fill>
    </dxf>
    <dxf>
      <font>
        <b val="0"/>
        <i val="0"/>
        <color theme="0"/>
      </font>
      <fill>
        <patternFill>
          <bgColor theme="4" tint="-0.24994659260841701"/>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8" tint="0.79998168889431442"/>
        </patternFill>
      </fill>
    </dxf>
    <dxf>
      <font>
        <b val="0"/>
        <i val="0"/>
      </font>
      <fill>
        <patternFill>
          <bgColor theme="8" tint="0.59996337778862885"/>
        </patternFill>
      </fill>
    </dxf>
    <dxf>
      <font>
        <b val="0"/>
        <i val="0"/>
      </font>
      <fill>
        <patternFill>
          <bgColor theme="8" tint="0.39994506668294322"/>
        </patternFill>
      </fill>
    </dxf>
    <dxf>
      <font>
        <b val="0"/>
        <i val="0"/>
        <color theme="0"/>
      </font>
      <fill>
        <patternFill>
          <bgColor theme="8"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8" tint="0.3999450666829432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val="0"/>
        <i val="0"/>
      </font>
      <fill>
        <patternFill>
          <bgColor theme="6" tint="0.79998168889431442"/>
        </patternFill>
      </fill>
    </dxf>
    <dxf>
      <font>
        <b val="0"/>
        <i val="0"/>
      </font>
      <fill>
        <patternFill>
          <bgColor theme="6" tint="0.59996337778862885"/>
        </patternFill>
      </fill>
    </dxf>
    <dxf>
      <font>
        <b val="0"/>
        <i val="0"/>
      </font>
      <fill>
        <patternFill>
          <bgColor theme="6" tint="0.39994506668294322"/>
        </patternFill>
      </fill>
    </dxf>
    <dxf>
      <font>
        <b val="0"/>
        <i val="0"/>
        <color theme="0"/>
      </font>
      <fill>
        <patternFill>
          <bgColor theme="6" tint="-0.24994659260841701"/>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s>
  <tableStyles count="0" defaultTableStyle="TableStyleMedium2" defaultPivotStyle="PivotStyleLight16"/>
  <colors>
    <mruColors>
      <color rgb="FFFF6600"/>
      <color rgb="FF238B45"/>
      <color rgb="FFEFF3FF"/>
      <color rgb="FFBDD7E7"/>
      <color rgb="FF6BAED6"/>
      <color rgb="FF2171B5"/>
      <color rgb="FFEDF8E9"/>
      <color rgb="FFBAE4B3"/>
      <color rgb="FF74C476"/>
      <color rgb="FFFF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20" Type="http://schemas.openxmlformats.org/officeDocument/2006/relationships/externalLink" Target="externalLinks/externalLink9.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0</xdr:col>
      <xdr:colOff>1288575</xdr:colOff>
      <xdr:row>0</xdr:row>
      <xdr:rowOff>519476</xdr:rowOff>
    </xdr:to>
    <xdr:pic>
      <xdr:nvPicPr>
        <xdr:cNvPr id="5" name="Pictur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8575" y="19050"/>
          <a:ext cx="1260000" cy="500426"/>
        </a:xfrm>
        <a:prstGeom prst="rect">
          <a:avLst/>
        </a:prstGeom>
      </xdr:spPr>
    </xdr:pic>
    <xdr:clientData/>
  </xdr:twoCellAnchor>
  <xdr:twoCellAnchor editAs="oneCell">
    <xdr:from>
      <xdr:col>0</xdr:col>
      <xdr:colOff>114300</xdr:colOff>
      <xdr:row>7</xdr:row>
      <xdr:rowOff>78061</xdr:rowOff>
    </xdr:from>
    <xdr:to>
      <xdr:col>0</xdr:col>
      <xdr:colOff>6175485</xdr:colOff>
      <xdr:row>8</xdr:row>
      <xdr:rowOff>3914775</xdr:rowOff>
    </xdr:to>
    <xdr:pic>
      <xdr:nvPicPr>
        <xdr:cNvPr id="2" name="Picture 1" descr="OCHA Greater Horn of Africa Presentation vs 27 Feb 2015.pdf - Foxit Reade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0502" t="23918" r="18792" b="4735"/>
        <a:stretch/>
      </xdr:blipFill>
      <xdr:spPr>
        <a:xfrm>
          <a:off x="114300" y="1668736"/>
          <a:ext cx="6061185" cy="39224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1298100</xdr:colOff>
      <xdr:row>2</xdr:row>
      <xdr:rowOff>52751</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38100" y="0"/>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66674</xdr:colOff>
      <xdr:row>1</xdr:row>
      <xdr:rowOff>114299</xdr:rowOff>
    </xdr:from>
    <xdr:to>
      <xdr:col>1</xdr:col>
      <xdr:colOff>1314957</xdr:colOff>
      <xdr:row>1</xdr:row>
      <xdr:rowOff>942974</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4" y="314324"/>
          <a:ext cx="2086483" cy="828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1</xdr:row>
      <xdr:rowOff>161926</xdr:rowOff>
    </xdr:from>
    <xdr:to>
      <xdr:col>0</xdr:col>
      <xdr:colOff>2438400</xdr:colOff>
      <xdr:row>1</xdr:row>
      <xdr:rowOff>1084972</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14300" y="352426"/>
          <a:ext cx="2324100" cy="9230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104774</xdr:colOff>
      <xdr:row>1</xdr:row>
      <xdr:rowOff>171450</xdr:rowOff>
    </xdr:from>
    <xdr:to>
      <xdr:col>0</xdr:col>
      <xdr:colOff>2670913</xdr:colOff>
      <xdr:row>1</xdr:row>
      <xdr:rowOff>1190625</xdr:rowOff>
    </xdr:to>
    <xdr:pic>
      <xdr:nvPicPr>
        <xdr:cNvPr id="4" name="Pictur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04774" y="361950"/>
          <a:ext cx="2566139" cy="1019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219075</xdr:colOff>
      <xdr:row>1</xdr:row>
      <xdr:rowOff>219075</xdr:rowOff>
    </xdr:from>
    <xdr:to>
      <xdr:col>0</xdr:col>
      <xdr:colOff>2833179</xdr:colOff>
      <xdr:row>1</xdr:row>
      <xdr:rowOff>1257300</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19075" y="409575"/>
          <a:ext cx="2614104" cy="1038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57149</xdr:colOff>
      <xdr:row>1</xdr:row>
      <xdr:rowOff>171450</xdr:rowOff>
    </xdr:from>
    <xdr:to>
      <xdr:col>0</xdr:col>
      <xdr:colOff>2695236</xdr:colOff>
      <xdr:row>1</xdr:row>
      <xdr:rowOff>1219200</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49" y="361950"/>
          <a:ext cx="2638087" cy="1047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57149</xdr:colOff>
      <xdr:row>1</xdr:row>
      <xdr:rowOff>171450</xdr:rowOff>
    </xdr:from>
    <xdr:to>
      <xdr:col>0</xdr:col>
      <xdr:colOff>2695236</xdr:colOff>
      <xdr:row>1</xdr:row>
      <xdr:rowOff>1219200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49" y="361950"/>
          <a:ext cx="2638087" cy="1047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Administrator/Desktop/WIPO%20-%20Global%20Innovation%20Index/Mika_Results_GII_Excel97ver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A_MICHAELA/WIPO%20-%20Global%20Innovation%20Index/2012/Rankings%202011%20good%20one.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APPLIC/UOE/IND98/FIN95/F1_TIM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APPLIC/UOE/IND98/FIN95/FG_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APPLIC/UOE/IND98/FIN95/FG_12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APPLIC/UOE/IND98/FIN95/F1_AL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APPLIC/UOE/IND98/FIN95/F11_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APPLIC/UOE/IND97/FIN94/F11_A9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APPLIC/UOE/IND98/FIN95/F12_AL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APPLIC/UOE/IND98/FIN95/F13_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_Michaela/WIPO%20-%20Global%20Innovation%20Index/Mika_GII2011.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jects_Critech/DG_2013_InfoRM/InfoRM/Spreadsheets/Data/Vulnerability/Food%20Insecurity/DUPONT/EIU_GFSI_July_2013_upda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pplic/UOE/Ind2007/data2001/E9C3NAG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pplic/UOE/Ind2007/data2001/E9C3N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Applic/PISA/Publications/PISA%202000%20Initial%20Report%20-%20Knowledge%20and%20Skills%20for%20Life/PISA%20Final%20Charts%20in%20Excel/Chapter%205/Dat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APPLIC/UOE/IND98/FIN95/F5_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TEMP/c.notes.data/TEMP/c.notes.data/02-02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TEMP/c.notes.data/TEMP/c.notes.data/~40719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TEMP/SUBSNE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Q_ISC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rk-jan/Library/Application%20Support/Microsoft/Office/Office%202011%20AutoRecovery/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rk-jan/Documents/All%20documents/2014%20OCHA%20Horn%20of%20Africa/Statistics/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pplic/uoe/ind2002/calcul_B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_Michaela/DG%20EAC/CCCI2/Civics%202009-1999%20country%20profil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A_Michaela/Canadian%20Council%20on%20Learning/data_results_May2007_part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inform-index.org/sahel/"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preview.grid.unep.ch/" TargetMode="External"/><Relationship Id="rId13" Type="http://schemas.openxmlformats.org/officeDocument/2006/relationships/hyperlink" Target="http://data.worldbank.org/indicator/SH.H2O.SAFE.ZS" TargetMode="External"/><Relationship Id="rId18" Type="http://schemas.openxmlformats.org/officeDocument/2006/relationships/hyperlink" Target="http://apps.who.int/ghodata" TargetMode="External"/><Relationship Id="rId26" Type="http://schemas.openxmlformats.org/officeDocument/2006/relationships/hyperlink" Target="http://data.worldbank.org/indicator/SI.POV.GINI" TargetMode="External"/><Relationship Id="rId3" Type="http://schemas.openxmlformats.org/officeDocument/2006/relationships/hyperlink" Target="http://info.worldbank.org/governance/wgi/index.asp" TargetMode="External"/><Relationship Id="rId21" Type="http://schemas.openxmlformats.org/officeDocument/2006/relationships/hyperlink" Target="http://stats.uis.unesco.org/unesco" TargetMode="External"/><Relationship Id="rId7" Type="http://schemas.openxmlformats.org/officeDocument/2006/relationships/hyperlink" Target="http://apps.who.int/ghodata" TargetMode="External"/><Relationship Id="rId12" Type="http://schemas.openxmlformats.org/officeDocument/2006/relationships/hyperlink" Target="http://www.emdat.be/" TargetMode="External"/><Relationship Id="rId17" Type="http://schemas.openxmlformats.org/officeDocument/2006/relationships/hyperlink" Target="http://data.worldbank.org/indicator/EG.ELC.ACCS.ZS" TargetMode="External"/><Relationship Id="rId25" Type="http://schemas.openxmlformats.org/officeDocument/2006/relationships/hyperlink" Target="http://www.unicef.org/publications/index_pubs_statistics.html" TargetMode="External"/><Relationship Id="rId2" Type="http://schemas.openxmlformats.org/officeDocument/2006/relationships/hyperlink" Target="http://www.ophi.org.uk/multidimensional-poverty-index" TargetMode="External"/><Relationship Id="rId16" Type="http://schemas.openxmlformats.org/officeDocument/2006/relationships/hyperlink" Target="http://data.worldbank.org/indicator/IT.CEL.SETS.P2" TargetMode="External"/><Relationship Id="rId20" Type="http://schemas.openxmlformats.org/officeDocument/2006/relationships/hyperlink" Target="http://data.unhcr.org/SahelSituation/region.php" TargetMode="External"/><Relationship Id="rId29" Type="http://schemas.openxmlformats.org/officeDocument/2006/relationships/hyperlink" Target="http://preview.grid.unep.ch/" TargetMode="External"/><Relationship Id="rId1" Type="http://schemas.openxmlformats.org/officeDocument/2006/relationships/hyperlink" Target="http://hdrstats.undp.org/en/indicators/103106.html" TargetMode="External"/><Relationship Id="rId6" Type="http://schemas.openxmlformats.org/officeDocument/2006/relationships/hyperlink" Target="http://apps.who.int/ghodata" TargetMode="External"/><Relationship Id="rId11" Type="http://schemas.openxmlformats.org/officeDocument/2006/relationships/hyperlink" Target="http://www.hiik.de/en/konfliktbarometer/index.html" TargetMode="External"/><Relationship Id="rId24" Type="http://schemas.openxmlformats.org/officeDocument/2006/relationships/hyperlink" Target="http://preview.grid.unep.ch/" TargetMode="External"/><Relationship Id="rId5" Type="http://schemas.openxmlformats.org/officeDocument/2006/relationships/hyperlink" Target="http://apps.who.int/ghodata" TargetMode="External"/><Relationship Id="rId15" Type="http://schemas.openxmlformats.org/officeDocument/2006/relationships/hyperlink" Target="http://data.worldbank.org/indicator/IT.NET.USER.P2" TargetMode="External"/><Relationship Id="rId23" Type="http://schemas.openxmlformats.org/officeDocument/2006/relationships/hyperlink" Target="http://preview.grid.unep.ch/" TargetMode="External"/><Relationship Id="rId28" Type="http://schemas.openxmlformats.org/officeDocument/2006/relationships/hyperlink" Target="http://www.acleddata.com/" TargetMode="External"/><Relationship Id="rId10" Type="http://schemas.openxmlformats.org/officeDocument/2006/relationships/hyperlink" Target="http://cpi.transparency.org/cpi2012/" TargetMode="External"/><Relationship Id="rId19" Type="http://schemas.openxmlformats.org/officeDocument/2006/relationships/hyperlink" Target="http://www.ornl.gov/sci/landscan/" TargetMode="External"/><Relationship Id="rId4" Type="http://schemas.openxmlformats.org/officeDocument/2006/relationships/hyperlink" Target="http://stats.uis.unesco.org/unesco" TargetMode="External"/><Relationship Id="rId9" Type="http://schemas.openxmlformats.org/officeDocument/2006/relationships/hyperlink" Target="http://info.worldbank.org/governance/wgi/index.asp" TargetMode="External"/><Relationship Id="rId14" Type="http://schemas.openxmlformats.org/officeDocument/2006/relationships/hyperlink" Target="http://data.worldbank.org/indicator/SH.STA.ACSN" TargetMode="External"/><Relationship Id="rId22" Type="http://schemas.openxmlformats.org/officeDocument/2006/relationships/hyperlink" Target="http://preview.grid.unep.ch/" TargetMode="External"/><Relationship Id="rId27" Type="http://schemas.openxmlformats.org/officeDocument/2006/relationships/hyperlink" Target="http://data.worldbank.org/indicator/SP.POP.TOTL" TargetMode="External"/><Relationship Id="rId30"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workbookViewId="0">
      <selection activeCell="A7" sqref="A7"/>
    </sheetView>
  </sheetViews>
  <sheetFormatPr defaultColWidth="8.85546875" defaultRowHeight="15" x14ac:dyDescent="0.25"/>
  <cols>
    <col min="1" max="1" width="98.85546875" style="11" customWidth="1"/>
    <col min="2" max="16384" width="8.85546875" style="11"/>
  </cols>
  <sheetData>
    <row r="1" spans="1:11" ht="46.5" x14ac:dyDescent="0.25">
      <c r="A1" s="89" t="s">
        <v>324</v>
      </c>
    </row>
    <row r="2" spans="1:11" x14ac:dyDescent="0.25">
      <c r="A2" s="90" t="s">
        <v>764</v>
      </c>
    </row>
    <row r="3" spans="1:11" ht="7.5" customHeight="1" x14ac:dyDescent="0.25">
      <c r="A3" s="18"/>
    </row>
    <row r="4" spans="1:11" ht="6.75" customHeight="1" x14ac:dyDescent="0.25">
      <c r="A4" s="91"/>
    </row>
    <row r="5" spans="1:11" x14ac:dyDescent="0.25">
      <c r="A5" s="92" t="s">
        <v>47</v>
      </c>
    </row>
    <row r="6" spans="1:11" ht="19.5" customHeight="1" x14ac:dyDescent="0.25">
      <c r="A6" s="93" t="s">
        <v>88</v>
      </c>
    </row>
    <row r="7" spans="1:11" x14ac:dyDescent="0.25">
      <c r="A7" s="121"/>
    </row>
    <row r="8" spans="1:11" ht="6.75" customHeight="1" x14ac:dyDescent="0.25">
      <c r="A8" s="94"/>
    </row>
    <row r="9" spans="1:11" ht="315.75" customHeight="1" x14ac:dyDescent="0.25">
      <c r="A9" s="95"/>
      <c r="K9"/>
    </row>
    <row r="10" spans="1:11" s="74" customFormat="1" ht="38.25" x14ac:dyDescent="0.2">
      <c r="A10" s="96" t="s">
        <v>89</v>
      </c>
      <c r="K10" s="75"/>
    </row>
    <row r="11" spans="1:11" ht="24" customHeight="1" x14ac:dyDescent="0.25">
      <c r="A11" s="97" t="s">
        <v>48</v>
      </c>
    </row>
    <row r="12" spans="1:11" x14ac:dyDescent="0.25">
      <c r="A12" s="98" t="s">
        <v>286</v>
      </c>
    </row>
    <row r="13" spans="1:11" ht="9" customHeight="1" x14ac:dyDescent="0.25">
      <c r="A13" s="98"/>
    </row>
    <row r="14" spans="1:11" x14ac:dyDescent="0.25">
      <c r="A14" s="99" t="s">
        <v>264</v>
      </c>
    </row>
    <row r="15" spans="1:11" x14ac:dyDescent="0.25">
      <c r="A15" s="100"/>
    </row>
    <row r="16" spans="1:11" x14ac:dyDescent="0.25">
      <c r="A16" s="100"/>
    </row>
    <row r="17" spans="1:1" x14ac:dyDescent="0.25">
      <c r="A17" s="100"/>
    </row>
    <row r="18" spans="1:1" x14ac:dyDescent="0.25">
      <c r="A18" s="100"/>
    </row>
    <row r="19" spans="1:1" x14ac:dyDescent="0.25">
      <c r="A19" s="100"/>
    </row>
    <row r="20" spans="1:1" x14ac:dyDescent="0.25">
      <c r="A20" s="100"/>
    </row>
    <row r="21" spans="1:1" x14ac:dyDescent="0.25">
      <c r="A21" s="100"/>
    </row>
    <row r="22" spans="1:1" x14ac:dyDescent="0.25">
      <c r="A22" s="100"/>
    </row>
  </sheetData>
  <hyperlinks>
    <hyperlink ref="A5" location="'Table of Contents'!A1" display="(table of Contents)"/>
    <hyperlink ref="A12" r:id="rId1"/>
  </hyperlinks>
  <pageMargins left="0.7" right="0.7" top="0.75" bottom="0.75" header="0.3" footer="0.3"/>
  <pageSetup orientation="portrait"/>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sqref="A1:D11"/>
    </sheetView>
  </sheetViews>
  <sheetFormatPr defaultColWidth="8.85546875" defaultRowHeight="15" x14ac:dyDescent="0.25"/>
  <sheetData>
    <row r="1" spans="1:5" x14ac:dyDescent="0.25">
      <c r="A1" s="16" t="s">
        <v>736</v>
      </c>
      <c r="B1" s="16" t="s">
        <v>0</v>
      </c>
      <c r="C1" s="16" t="s">
        <v>737</v>
      </c>
      <c r="D1" s="16" t="s">
        <v>738</v>
      </c>
      <c r="E1" s="16"/>
    </row>
    <row r="2" spans="1:5" x14ac:dyDescent="0.25">
      <c r="A2" t="s">
        <v>561</v>
      </c>
      <c r="B2" t="s">
        <v>581</v>
      </c>
      <c r="C2" t="s">
        <v>607</v>
      </c>
      <c r="D2" t="s">
        <v>739</v>
      </c>
    </row>
    <row r="3" spans="1:5" x14ac:dyDescent="0.25">
      <c r="A3" t="s">
        <v>562</v>
      </c>
      <c r="B3" t="s">
        <v>581</v>
      </c>
      <c r="C3" t="s">
        <v>608</v>
      </c>
      <c r="D3" s="16" t="s">
        <v>739</v>
      </c>
    </row>
    <row r="4" spans="1:5" x14ac:dyDescent="0.25">
      <c r="A4" t="s">
        <v>563</v>
      </c>
      <c r="B4" t="s">
        <v>581</v>
      </c>
      <c r="C4" t="s">
        <v>609</v>
      </c>
      <c r="D4" s="16" t="s">
        <v>564</v>
      </c>
    </row>
    <row r="5" spans="1:5" x14ac:dyDescent="0.25">
      <c r="A5" t="s">
        <v>564</v>
      </c>
      <c r="B5" t="s">
        <v>581</v>
      </c>
      <c r="C5" t="s">
        <v>610</v>
      </c>
      <c r="D5" s="16" t="s">
        <v>564</v>
      </c>
    </row>
    <row r="6" spans="1:5" x14ac:dyDescent="0.25">
      <c r="A6" t="s">
        <v>565</v>
      </c>
      <c r="B6" t="s">
        <v>581</v>
      </c>
      <c r="C6" t="s">
        <v>611</v>
      </c>
      <c r="D6" s="16" t="s">
        <v>739</v>
      </c>
    </row>
    <row r="7" spans="1:5" x14ac:dyDescent="0.25">
      <c r="A7" t="s">
        <v>566</v>
      </c>
      <c r="B7" t="s">
        <v>581</v>
      </c>
      <c r="C7" t="s">
        <v>612</v>
      </c>
      <c r="D7" s="16" t="s">
        <v>544</v>
      </c>
    </row>
    <row r="8" spans="1:5" x14ac:dyDescent="0.25">
      <c r="A8" t="s">
        <v>567</v>
      </c>
      <c r="B8" t="s">
        <v>581</v>
      </c>
      <c r="C8" t="s">
        <v>613</v>
      </c>
      <c r="D8" t="s">
        <v>544</v>
      </c>
    </row>
    <row r="9" spans="1:5" x14ac:dyDescent="0.25">
      <c r="A9" t="s">
        <v>568</v>
      </c>
      <c r="B9" t="s">
        <v>581</v>
      </c>
      <c r="C9" t="s">
        <v>614</v>
      </c>
      <c r="D9" s="16" t="s">
        <v>570</v>
      </c>
    </row>
    <row r="10" spans="1:5" x14ac:dyDescent="0.25">
      <c r="A10" t="s">
        <v>569</v>
      </c>
      <c r="B10" t="s">
        <v>581</v>
      </c>
      <c r="C10" t="s">
        <v>615</v>
      </c>
      <c r="D10" s="16" t="s">
        <v>544</v>
      </c>
    </row>
    <row r="11" spans="1:5" x14ac:dyDescent="0.25">
      <c r="A11" t="s">
        <v>570</v>
      </c>
      <c r="B11" t="s">
        <v>581</v>
      </c>
      <c r="C11" t="s">
        <v>616</v>
      </c>
      <c r="D11" t="s">
        <v>570</v>
      </c>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zoomScale="90" zoomScaleNormal="90" zoomScalePageLayoutView="90" workbookViewId="0">
      <pane ySplit="2" topLeftCell="A3" activePane="bottomLeft" state="frozen"/>
      <selection pane="bottomLeft" activeCell="G6" sqref="G6"/>
    </sheetView>
  </sheetViews>
  <sheetFormatPr defaultColWidth="8.85546875" defaultRowHeight="15" x14ac:dyDescent="0.25"/>
  <cols>
    <col min="1" max="1" width="13.140625" style="80" customWidth="1"/>
    <col min="2" max="2" width="15.42578125" style="80" customWidth="1"/>
    <col min="3" max="3" width="23.42578125" style="80" customWidth="1"/>
    <col min="4" max="4" width="15.7109375" style="80" bestFit="1" customWidth="1"/>
    <col min="5" max="5" width="22" style="80" customWidth="1"/>
    <col min="6" max="6" width="24" style="80" customWidth="1"/>
    <col min="7" max="7" width="34" style="80" customWidth="1"/>
    <col min="8" max="8" width="17" style="80" customWidth="1"/>
    <col min="9" max="11" width="57.140625" style="80" customWidth="1"/>
    <col min="12" max="12" width="33.7109375" style="80" customWidth="1"/>
    <col min="13" max="13" width="64.7109375" style="80" customWidth="1"/>
    <col min="14" max="16384" width="8.85546875" style="80"/>
  </cols>
  <sheetData>
    <row r="1" spans="1:13" s="11" customFormat="1" x14ac:dyDescent="0.25">
      <c r="A1" s="171"/>
      <c r="B1" s="171"/>
      <c r="C1" s="171"/>
      <c r="D1" s="171"/>
      <c r="E1" s="171"/>
      <c r="F1" s="171"/>
      <c r="G1" s="171"/>
      <c r="H1" s="171"/>
      <c r="I1" s="171"/>
      <c r="J1" s="171"/>
      <c r="K1" s="171"/>
      <c r="L1" s="171"/>
      <c r="M1" s="171"/>
    </row>
    <row r="2" spans="1:13" ht="15.75" thickBot="1" x14ac:dyDescent="0.3">
      <c r="A2" s="81" t="s">
        <v>90</v>
      </c>
      <c r="B2" s="81" t="s">
        <v>91</v>
      </c>
      <c r="C2" s="81" t="s">
        <v>92</v>
      </c>
      <c r="D2" s="81" t="s">
        <v>93</v>
      </c>
      <c r="E2" s="81" t="s">
        <v>288</v>
      </c>
      <c r="F2" s="81" t="s">
        <v>94</v>
      </c>
      <c r="G2" s="81" t="s">
        <v>95</v>
      </c>
      <c r="H2" s="81" t="s">
        <v>299</v>
      </c>
      <c r="I2" s="81" t="s">
        <v>256</v>
      </c>
      <c r="J2" s="81" t="s">
        <v>257</v>
      </c>
      <c r="K2" s="81" t="s">
        <v>258</v>
      </c>
      <c r="L2" s="81" t="s">
        <v>297</v>
      </c>
      <c r="M2" s="81" t="s">
        <v>163</v>
      </c>
    </row>
    <row r="3" spans="1:13" ht="75" x14ac:dyDescent="0.25">
      <c r="A3" s="82" t="s">
        <v>96</v>
      </c>
      <c r="B3" s="79" t="s">
        <v>8</v>
      </c>
      <c r="C3" s="79" t="s">
        <v>100</v>
      </c>
      <c r="D3" s="79" t="s">
        <v>97</v>
      </c>
      <c r="E3" s="79" t="s">
        <v>101</v>
      </c>
      <c r="F3" s="79" t="s">
        <v>57</v>
      </c>
      <c r="G3" s="79" t="s">
        <v>165</v>
      </c>
      <c r="H3" s="79" t="s">
        <v>300</v>
      </c>
      <c r="I3" s="79" t="s">
        <v>201</v>
      </c>
      <c r="J3" s="79" t="s">
        <v>202</v>
      </c>
      <c r="K3" s="79"/>
      <c r="L3" s="79" t="s">
        <v>102</v>
      </c>
      <c r="M3" s="79" t="s">
        <v>98</v>
      </c>
    </row>
    <row r="4" spans="1:13" ht="75" x14ac:dyDescent="0.25">
      <c r="A4" s="82" t="s">
        <v>96</v>
      </c>
      <c r="B4" s="79" t="s">
        <v>8</v>
      </c>
      <c r="C4" s="79" t="s">
        <v>100</v>
      </c>
      <c r="D4" s="79" t="s">
        <v>99</v>
      </c>
      <c r="E4" s="79" t="s">
        <v>103</v>
      </c>
      <c r="F4" s="79" t="s">
        <v>58</v>
      </c>
      <c r="G4" s="79" t="s">
        <v>166</v>
      </c>
      <c r="H4" s="79" t="s">
        <v>300</v>
      </c>
      <c r="I4" s="79" t="s">
        <v>203</v>
      </c>
      <c r="J4" s="79" t="s">
        <v>202</v>
      </c>
      <c r="K4" s="79"/>
      <c r="L4" s="79" t="s">
        <v>104</v>
      </c>
      <c r="M4" s="79" t="s">
        <v>98</v>
      </c>
    </row>
    <row r="5" spans="1:13" ht="30" x14ac:dyDescent="0.25">
      <c r="A5" s="82" t="s">
        <v>96</v>
      </c>
      <c r="B5" s="79" t="s">
        <v>8</v>
      </c>
      <c r="C5" s="79" t="s">
        <v>105</v>
      </c>
      <c r="D5" s="79"/>
      <c r="E5" s="79"/>
      <c r="F5" s="79" t="s">
        <v>686</v>
      </c>
      <c r="G5" s="79"/>
      <c r="H5" s="79" t="s">
        <v>300</v>
      </c>
      <c r="I5" s="79"/>
      <c r="J5" s="79" t="s">
        <v>204</v>
      </c>
      <c r="K5" s="79"/>
      <c r="L5" s="79"/>
      <c r="M5" s="88"/>
    </row>
    <row r="6" spans="1:13" ht="75" x14ac:dyDescent="0.25">
      <c r="A6" s="82" t="s">
        <v>96</v>
      </c>
      <c r="B6" s="79" t="s">
        <v>9</v>
      </c>
      <c r="C6" s="79" t="s">
        <v>61</v>
      </c>
      <c r="D6" s="79"/>
      <c r="E6" s="79" t="s">
        <v>108</v>
      </c>
      <c r="F6" s="79" t="s">
        <v>109</v>
      </c>
      <c r="G6" s="79" t="s">
        <v>109</v>
      </c>
      <c r="H6" s="79" t="s">
        <v>301</v>
      </c>
      <c r="I6" s="79" t="s">
        <v>205</v>
      </c>
      <c r="J6" s="79" t="s">
        <v>289</v>
      </c>
      <c r="K6" s="79"/>
      <c r="L6" s="79" t="s">
        <v>110</v>
      </c>
      <c r="M6" s="79" t="s">
        <v>111</v>
      </c>
    </row>
    <row r="7" spans="1:13" ht="45" x14ac:dyDescent="0.25">
      <c r="A7" s="82" t="s">
        <v>96</v>
      </c>
      <c r="B7" s="79" t="s">
        <v>9</v>
      </c>
      <c r="C7" s="79" t="s">
        <v>60</v>
      </c>
      <c r="D7" s="79"/>
      <c r="E7" s="79" t="s">
        <v>112</v>
      </c>
      <c r="F7" s="79" t="s">
        <v>46</v>
      </c>
      <c r="G7" s="79" t="s">
        <v>46</v>
      </c>
      <c r="H7" s="79" t="s">
        <v>300</v>
      </c>
      <c r="I7" s="79" t="s">
        <v>206</v>
      </c>
      <c r="J7" s="79" t="s">
        <v>287</v>
      </c>
      <c r="K7" s="79"/>
      <c r="L7" s="79" t="s">
        <v>113</v>
      </c>
      <c r="M7" s="79" t="s">
        <v>114</v>
      </c>
    </row>
    <row r="8" spans="1:13" ht="120" x14ac:dyDescent="0.25">
      <c r="A8" s="82" t="s">
        <v>96</v>
      </c>
      <c r="B8" s="79" t="s">
        <v>9</v>
      </c>
      <c r="C8" s="79" t="s">
        <v>274</v>
      </c>
      <c r="D8" s="79"/>
      <c r="E8" s="79"/>
      <c r="F8" s="79" t="s">
        <v>272</v>
      </c>
      <c r="G8" s="79" t="s">
        <v>307</v>
      </c>
      <c r="H8" s="79" t="s">
        <v>300</v>
      </c>
      <c r="I8" s="79" t="s">
        <v>303</v>
      </c>
      <c r="J8" s="79" t="s">
        <v>304</v>
      </c>
      <c r="K8" s="79"/>
      <c r="L8" s="79" t="s">
        <v>305</v>
      </c>
      <c r="M8" s="88" t="s">
        <v>306</v>
      </c>
    </row>
    <row r="9" spans="1:13" ht="45" x14ac:dyDescent="0.25">
      <c r="A9" s="132" t="s">
        <v>96</v>
      </c>
      <c r="B9" s="79" t="s">
        <v>9</v>
      </c>
      <c r="C9" s="79" t="s">
        <v>590</v>
      </c>
      <c r="D9" s="79" t="s">
        <v>591</v>
      </c>
      <c r="E9" s="79" t="s">
        <v>592</v>
      </c>
      <c r="F9" s="79" t="s">
        <v>593</v>
      </c>
      <c r="G9" s="79" t="s">
        <v>593</v>
      </c>
      <c r="H9" s="79"/>
      <c r="I9" s="79" t="s">
        <v>206</v>
      </c>
      <c r="J9" s="79" t="s">
        <v>594</v>
      </c>
      <c r="K9" s="79"/>
      <c r="L9" s="79" t="s">
        <v>113</v>
      </c>
      <c r="M9" s="88" t="s">
        <v>114</v>
      </c>
    </row>
    <row r="10" spans="1:13" ht="45" x14ac:dyDescent="0.25">
      <c r="A10" s="132" t="s">
        <v>96</v>
      </c>
      <c r="B10" s="79" t="s">
        <v>9</v>
      </c>
      <c r="C10" s="79" t="s">
        <v>590</v>
      </c>
      <c r="D10" s="79" t="s">
        <v>591</v>
      </c>
      <c r="E10" s="79" t="s">
        <v>595</v>
      </c>
      <c r="F10" s="79" t="s">
        <v>596</v>
      </c>
      <c r="G10" s="79" t="s">
        <v>596</v>
      </c>
      <c r="H10" s="79"/>
      <c r="I10" s="79" t="s">
        <v>206</v>
      </c>
      <c r="J10" s="79" t="s">
        <v>594</v>
      </c>
      <c r="K10" s="79"/>
      <c r="L10" s="79" t="s">
        <v>113</v>
      </c>
      <c r="M10" s="88" t="s">
        <v>114</v>
      </c>
    </row>
    <row r="11" spans="1:13" ht="30" x14ac:dyDescent="0.25">
      <c r="A11" s="132" t="s">
        <v>96</v>
      </c>
      <c r="B11" s="79" t="s">
        <v>9</v>
      </c>
      <c r="C11" s="79" t="s">
        <v>590</v>
      </c>
      <c r="D11" s="79" t="s">
        <v>597</v>
      </c>
      <c r="E11" s="79" t="s">
        <v>598</v>
      </c>
      <c r="F11" s="79" t="s">
        <v>599</v>
      </c>
      <c r="G11" s="79" t="s">
        <v>599</v>
      </c>
      <c r="H11" s="79"/>
      <c r="I11" s="79" t="s">
        <v>600</v>
      </c>
      <c r="J11" s="79" t="s">
        <v>594</v>
      </c>
      <c r="K11" s="79"/>
      <c r="L11" s="79" t="s">
        <v>601</v>
      </c>
      <c r="M11" s="88" t="s">
        <v>602</v>
      </c>
    </row>
    <row r="12" spans="1:13" ht="45" x14ac:dyDescent="0.25">
      <c r="A12" s="132" t="s">
        <v>96</v>
      </c>
      <c r="B12" s="79" t="s">
        <v>9</v>
      </c>
      <c r="C12" s="79" t="s">
        <v>590</v>
      </c>
      <c r="D12" s="79" t="s">
        <v>597</v>
      </c>
      <c r="E12" s="79" t="s">
        <v>603</v>
      </c>
      <c r="F12" s="79" t="s">
        <v>604</v>
      </c>
      <c r="G12" s="79" t="s">
        <v>604</v>
      </c>
      <c r="H12" s="79"/>
      <c r="I12" s="79" t="s">
        <v>600</v>
      </c>
      <c r="J12" s="79" t="s">
        <v>594</v>
      </c>
      <c r="K12" s="79"/>
      <c r="L12" s="79" t="s">
        <v>601</v>
      </c>
      <c r="M12" s="88" t="s">
        <v>602</v>
      </c>
    </row>
    <row r="13" spans="1:13" ht="45" x14ac:dyDescent="0.25">
      <c r="A13" s="84" t="s">
        <v>17</v>
      </c>
      <c r="B13" s="79" t="s">
        <v>115</v>
      </c>
      <c r="C13" s="79" t="s">
        <v>116</v>
      </c>
      <c r="D13" s="79"/>
      <c r="E13" s="79" t="s">
        <v>117</v>
      </c>
      <c r="F13" s="79" t="s">
        <v>20</v>
      </c>
      <c r="G13" s="79" t="s">
        <v>20</v>
      </c>
      <c r="H13" s="79" t="s">
        <v>302</v>
      </c>
      <c r="I13" s="79" t="s">
        <v>207</v>
      </c>
      <c r="J13" s="79" t="s">
        <v>208</v>
      </c>
      <c r="K13" s="79"/>
      <c r="L13" s="79" t="s">
        <v>291</v>
      </c>
      <c r="M13" s="79" t="s">
        <v>118</v>
      </c>
    </row>
    <row r="14" spans="1:13" ht="90" x14ac:dyDescent="0.25">
      <c r="A14" s="84" t="s">
        <v>17</v>
      </c>
      <c r="B14" s="79" t="s">
        <v>115</v>
      </c>
      <c r="C14" s="79" t="s">
        <v>116</v>
      </c>
      <c r="D14" s="79"/>
      <c r="E14" s="79" t="s">
        <v>119</v>
      </c>
      <c r="F14" s="79" t="s">
        <v>21</v>
      </c>
      <c r="G14" s="79" t="s">
        <v>21</v>
      </c>
      <c r="H14" s="79" t="s">
        <v>302</v>
      </c>
      <c r="I14" s="79" t="s">
        <v>209</v>
      </c>
      <c r="J14" s="79" t="s">
        <v>210</v>
      </c>
      <c r="K14" s="79"/>
      <c r="L14" s="79" t="s">
        <v>292</v>
      </c>
      <c r="M14" s="88" t="s">
        <v>293</v>
      </c>
    </row>
    <row r="15" spans="1:13" ht="105" x14ac:dyDescent="0.25">
      <c r="A15" s="84" t="s">
        <v>17</v>
      </c>
      <c r="B15" s="79" t="s">
        <v>115</v>
      </c>
      <c r="C15" s="79" t="s">
        <v>28</v>
      </c>
      <c r="D15" s="79"/>
      <c r="E15" s="79" t="s">
        <v>120</v>
      </c>
      <c r="F15" s="79" t="s">
        <v>19</v>
      </c>
      <c r="G15" s="79" t="s">
        <v>19</v>
      </c>
      <c r="H15" s="79" t="s">
        <v>302</v>
      </c>
      <c r="I15" s="79" t="s">
        <v>211</v>
      </c>
      <c r="J15" s="79" t="s">
        <v>212</v>
      </c>
      <c r="K15" s="79"/>
      <c r="L15" s="79" t="s">
        <v>291</v>
      </c>
      <c r="M15" s="79" t="s">
        <v>121</v>
      </c>
    </row>
    <row r="16" spans="1:13" ht="75" x14ac:dyDescent="0.25">
      <c r="A16" s="84" t="s">
        <v>17</v>
      </c>
      <c r="B16" s="79" t="s">
        <v>115</v>
      </c>
      <c r="C16" s="79" t="s">
        <v>28</v>
      </c>
      <c r="D16" s="79"/>
      <c r="E16" s="79" t="s">
        <v>122</v>
      </c>
      <c r="F16" s="79" t="s">
        <v>123</v>
      </c>
      <c r="G16" s="79" t="s">
        <v>123</v>
      </c>
      <c r="H16" s="79" t="s">
        <v>302</v>
      </c>
      <c r="I16" s="79" t="s">
        <v>213</v>
      </c>
      <c r="J16" s="79" t="s">
        <v>214</v>
      </c>
      <c r="K16" s="79"/>
      <c r="L16" s="79" t="s">
        <v>149</v>
      </c>
      <c r="M16" s="79" t="s">
        <v>265</v>
      </c>
    </row>
    <row r="17" spans="1:13" ht="165" x14ac:dyDescent="0.25">
      <c r="A17" s="84" t="s">
        <v>17</v>
      </c>
      <c r="B17" s="79" t="s">
        <v>115</v>
      </c>
      <c r="C17" s="79" t="s">
        <v>124</v>
      </c>
      <c r="D17" s="79" t="s">
        <v>273</v>
      </c>
      <c r="E17" s="79"/>
      <c r="F17" s="79" t="s">
        <v>320</v>
      </c>
      <c r="G17" s="79" t="s">
        <v>319</v>
      </c>
      <c r="H17" s="79" t="s">
        <v>301</v>
      </c>
      <c r="I17" s="79" t="s">
        <v>318</v>
      </c>
      <c r="J17" s="123" t="s">
        <v>317</v>
      </c>
      <c r="K17" s="79"/>
      <c r="L17" s="79" t="s">
        <v>321</v>
      </c>
      <c r="M17" s="123" t="s">
        <v>322</v>
      </c>
    </row>
    <row r="18" spans="1:13" ht="90" x14ac:dyDescent="0.25">
      <c r="A18" s="84" t="s">
        <v>17</v>
      </c>
      <c r="B18" s="79" t="s">
        <v>35</v>
      </c>
      <c r="C18" s="79" t="s">
        <v>27</v>
      </c>
      <c r="D18" s="79"/>
      <c r="E18" s="79" t="s">
        <v>130</v>
      </c>
      <c r="F18" s="79" t="s">
        <v>81</v>
      </c>
      <c r="G18" s="79" t="s">
        <v>81</v>
      </c>
      <c r="H18" s="79" t="s">
        <v>300</v>
      </c>
      <c r="I18" s="79" t="s">
        <v>215</v>
      </c>
      <c r="J18" s="79" t="s">
        <v>216</v>
      </c>
      <c r="K18" s="79" t="s">
        <v>217</v>
      </c>
      <c r="L18" s="79" t="s">
        <v>294</v>
      </c>
      <c r="M18" s="88" t="s">
        <v>295</v>
      </c>
    </row>
    <row r="19" spans="1:13" ht="90" x14ac:dyDescent="0.25">
      <c r="A19" s="84" t="s">
        <v>17</v>
      </c>
      <c r="B19" s="79" t="s">
        <v>35</v>
      </c>
      <c r="C19" s="79" t="s">
        <v>27</v>
      </c>
      <c r="D19" s="79"/>
      <c r="E19" s="79" t="s">
        <v>133</v>
      </c>
      <c r="F19" s="79" t="s">
        <v>80</v>
      </c>
      <c r="G19" s="79" t="s">
        <v>80</v>
      </c>
      <c r="H19" s="79" t="s">
        <v>300</v>
      </c>
      <c r="I19" s="79" t="s">
        <v>215</v>
      </c>
      <c r="J19" s="79" t="s">
        <v>216</v>
      </c>
      <c r="K19" s="79" t="s">
        <v>217</v>
      </c>
      <c r="L19" s="79" t="s">
        <v>134</v>
      </c>
      <c r="M19" s="79" t="s">
        <v>135</v>
      </c>
    </row>
    <row r="20" spans="1:13" ht="90" x14ac:dyDescent="0.25">
      <c r="A20" s="84" t="s">
        <v>17</v>
      </c>
      <c r="B20" s="79" t="s">
        <v>35</v>
      </c>
      <c r="C20" s="79" t="s">
        <v>27</v>
      </c>
      <c r="D20" s="79"/>
      <c r="E20" s="79" t="s">
        <v>167</v>
      </c>
      <c r="F20" s="79" t="s">
        <v>136</v>
      </c>
      <c r="G20" s="79" t="s">
        <v>136</v>
      </c>
      <c r="H20" s="79" t="s">
        <v>301</v>
      </c>
      <c r="I20" s="79" t="s">
        <v>215</v>
      </c>
      <c r="J20" s="79" t="s">
        <v>216</v>
      </c>
      <c r="K20" s="79" t="s">
        <v>217</v>
      </c>
      <c r="L20" s="79" t="s">
        <v>131</v>
      </c>
      <c r="M20" s="79" t="s">
        <v>132</v>
      </c>
    </row>
    <row r="21" spans="1:13" ht="60" x14ac:dyDescent="0.25">
      <c r="A21" s="84" t="s">
        <v>17</v>
      </c>
      <c r="B21" s="79" t="s">
        <v>35</v>
      </c>
      <c r="C21" s="79" t="s">
        <v>40</v>
      </c>
      <c r="D21" s="79" t="s">
        <v>164</v>
      </c>
      <c r="E21" s="79" t="s">
        <v>168</v>
      </c>
      <c r="F21" s="79" t="s">
        <v>169</v>
      </c>
      <c r="G21" s="79" t="s">
        <v>170</v>
      </c>
      <c r="H21" s="79" t="s">
        <v>301</v>
      </c>
      <c r="I21" s="79" t="s">
        <v>218</v>
      </c>
      <c r="J21" s="79" t="s">
        <v>219</v>
      </c>
      <c r="K21" s="79" t="s">
        <v>220</v>
      </c>
      <c r="L21" s="79" t="s">
        <v>137</v>
      </c>
      <c r="M21" s="79" t="s">
        <v>138</v>
      </c>
    </row>
    <row r="22" spans="1:13" ht="60" x14ac:dyDescent="0.25">
      <c r="A22" s="84" t="s">
        <v>17</v>
      </c>
      <c r="B22" s="79" t="s">
        <v>35</v>
      </c>
      <c r="C22" s="79" t="s">
        <v>40</v>
      </c>
      <c r="D22" s="79" t="s">
        <v>164</v>
      </c>
      <c r="E22" s="79" t="s">
        <v>171</v>
      </c>
      <c r="F22" s="79" t="s">
        <v>32</v>
      </c>
      <c r="G22" s="79" t="s">
        <v>172</v>
      </c>
      <c r="H22" s="79" t="s">
        <v>301</v>
      </c>
      <c r="I22" s="79" t="s">
        <v>221</v>
      </c>
      <c r="J22" s="79" t="s">
        <v>222</v>
      </c>
      <c r="K22" s="79" t="s">
        <v>223</v>
      </c>
      <c r="L22" s="79" t="s">
        <v>137</v>
      </c>
      <c r="M22" s="79" t="s">
        <v>138</v>
      </c>
    </row>
    <row r="23" spans="1:13" ht="60" x14ac:dyDescent="0.25">
      <c r="A23" s="84" t="s">
        <v>17</v>
      </c>
      <c r="B23" s="79" t="s">
        <v>35</v>
      </c>
      <c r="C23" s="79" t="s">
        <v>40</v>
      </c>
      <c r="D23" s="79" t="s">
        <v>164</v>
      </c>
      <c r="E23" s="79" t="s">
        <v>173</v>
      </c>
      <c r="F23" s="79" t="s">
        <v>31</v>
      </c>
      <c r="G23" s="79" t="s">
        <v>174</v>
      </c>
      <c r="H23" s="79" t="s">
        <v>301</v>
      </c>
      <c r="I23" s="79" t="s">
        <v>224</v>
      </c>
      <c r="J23" s="79" t="s">
        <v>225</v>
      </c>
      <c r="K23" s="79" t="s">
        <v>226</v>
      </c>
      <c r="L23" s="79" t="s">
        <v>137</v>
      </c>
      <c r="M23" s="79" t="s">
        <v>138</v>
      </c>
    </row>
    <row r="24" spans="1:13" ht="60" x14ac:dyDescent="0.25">
      <c r="A24" s="84" t="s">
        <v>17</v>
      </c>
      <c r="B24" s="79" t="s">
        <v>35</v>
      </c>
      <c r="C24" s="79" t="s">
        <v>40</v>
      </c>
      <c r="D24" s="79" t="s">
        <v>125</v>
      </c>
      <c r="E24" s="79" t="s">
        <v>175</v>
      </c>
      <c r="F24" s="79" t="s">
        <v>1</v>
      </c>
      <c r="G24" s="79" t="s">
        <v>126</v>
      </c>
      <c r="H24" s="79" t="s">
        <v>302</v>
      </c>
      <c r="I24" s="79" t="s">
        <v>227</v>
      </c>
      <c r="J24" s="79" t="s">
        <v>228</v>
      </c>
      <c r="K24" s="79" t="s">
        <v>229</v>
      </c>
      <c r="L24" s="79" t="s">
        <v>127</v>
      </c>
      <c r="M24" s="79" t="s">
        <v>128</v>
      </c>
    </row>
    <row r="25" spans="1:13" ht="195" x14ac:dyDescent="0.25">
      <c r="A25" s="84" t="s">
        <v>17</v>
      </c>
      <c r="B25" s="79" t="s">
        <v>35</v>
      </c>
      <c r="C25" s="79" t="s">
        <v>40</v>
      </c>
      <c r="D25" s="79" t="s">
        <v>125</v>
      </c>
      <c r="E25" s="79" t="s">
        <v>176</v>
      </c>
      <c r="F25" s="79" t="s">
        <v>129</v>
      </c>
      <c r="G25" s="79" t="s">
        <v>177</v>
      </c>
      <c r="H25" s="79" t="s">
        <v>300</v>
      </c>
      <c r="I25" s="79" t="s">
        <v>230</v>
      </c>
      <c r="J25" s="79" t="s">
        <v>231</v>
      </c>
      <c r="K25" s="79" t="s">
        <v>290</v>
      </c>
      <c r="L25" s="79" t="s">
        <v>313</v>
      </c>
      <c r="M25" s="79" t="s">
        <v>314</v>
      </c>
    </row>
    <row r="26" spans="1:13" ht="105" x14ac:dyDescent="0.25">
      <c r="A26" s="84" t="s">
        <v>17</v>
      </c>
      <c r="B26" s="79" t="s">
        <v>35</v>
      </c>
      <c r="C26" s="79" t="s">
        <v>40</v>
      </c>
      <c r="D26" s="79" t="s">
        <v>139</v>
      </c>
      <c r="E26" s="79" t="s">
        <v>178</v>
      </c>
      <c r="F26" s="79" t="s">
        <v>179</v>
      </c>
      <c r="G26" s="79" t="s">
        <v>180</v>
      </c>
      <c r="H26" s="79" t="s">
        <v>300</v>
      </c>
      <c r="I26" s="79" t="s">
        <v>232</v>
      </c>
      <c r="J26" s="79" t="s">
        <v>233</v>
      </c>
      <c r="K26" s="79" t="s">
        <v>234</v>
      </c>
      <c r="L26" s="79" t="s">
        <v>106</v>
      </c>
      <c r="M26" s="79" t="s">
        <v>107</v>
      </c>
    </row>
    <row r="27" spans="1:13" ht="45" x14ac:dyDescent="0.25">
      <c r="A27" s="84" t="s">
        <v>17</v>
      </c>
      <c r="B27" s="79" t="s">
        <v>35</v>
      </c>
      <c r="C27" s="79" t="s">
        <v>40</v>
      </c>
      <c r="D27" s="79" t="s">
        <v>34</v>
      </c>
      <c r="E27" s="79"/>
      <c r="F27" s="79" t="s">
        <v>327</v>
      </c>
      <c r="G27" s="79" t="s">
        <v>327</v>
      </c>
      <c r="H27" s="79" t="s">
        <v>300</v>
      </c>
      <c r="I27" s="79" t="s">
        <v>605</v>
      </c>
      <c r="J27" s="79"/>
      <c r="K27" s="79" t="s">
        <v>298</v>
      </c>
      <c r="L27" s="79" t="s">
        <v>606</v>
      </c>
      <c r="M27" s="79"/>
    </row>
    <row r="28" spans="1:13" ht="75" x14ac:dyDescent="0.25">
      <c r="A28" s="83" t="s">
        <v>140</v>
      </c>
      <c r="B28" s="79" t="s">
        <v>10</v>
      </c>
      <c r="C28" s="79" t="s">
        <v>37</v>
      </c>
      <c r="D28" s="79"/>
      <c r="E28" s="79" t="s">
        <v>181</v>
      </c>
      <c r="F28" s="79" t="s">
        <v>141</v>
      </c>
      <c r="G28" s="79" t="s">
        <v>141</v>
      </c>
      <c r="H28" s="79" t="s">
        <v>301</v>
      </c>
      <c r="I28" s="79" t="s">
        <v>235</v>
      </c>
      <c r="J28" s="79" t="s">
        <v>236</v>
      </c>
      <c r="K28" s="79"/>
      <c r="L28" s="79" t="s">
        <v>110</v>
      </c>
      <c r="M28" s="79" t="s">
        <v>111</v>
      </c>
    </row>
    <row r="29" spans="1:13" ht="60" x14ac:dyDescent="0.25">
      <c r="A29" s="83" t="s">
        <v>140</v>
      </c>
      <c r="B29" s="79" t="s">
        <v>10</v>
      </c>
      <c r="C29" s="79" t="s">
        <v>37</v>
      </c>
      <c r="D29" s="79"/>
      <c r="E29" s="79" t="s">
        <v>182</v>
      </c>
      <c r="F29" s="79" t="s">
        <v>33</v>
      </c>
      <c r="G29" s="79" t="s">
        <v>183</v>
      </c>
      <c r="H29" s="79" t="s">
        <v>301</v>
      </c>
      <c r="I29" s="79" t="s">
        <v>237</v>
      </c>
      <c r="J29" s="79" t="s">
        <v>238</v>
      </c>
      <c r="K29" s="79"/>
      <c r="L29" s="79" t="s">
        <v>142</v>
      </c>
      <c r="M29" s="79" t="s">
        <v>143</v>
      </c>
    </row>
    <row r="30" spans="1:13" ht="150" x14ac:dyDescent="0.25">
      <c r="A30" s="83" t="s">
        <v>140</v>
      </c>
      <c r="B30" s="79" t="s">
        <v>10</v>
      </c>
      <c r="C30" s="79" t="s">
        <v>144</v>
      </c>
      <c r="D30" s="79"/>
      <c r="E30" s="79"/>
      <c r="F30" s="79" t="s">
        <v>308</v>
      </c>
      <c r="G30" s="79" t="s">
        <v>296</v>
      </c>
      <c r="H30" s="79" t="s">
        <v>301</v>
      </c>
      <c r="I30" s="79" t="s">
        <v>312</v>
      </c>
      <c r="J30" s="79" t="s">
        <v>311</v>
      </c>
      <c r="K30" s="79"/>
      <c r="L30" s="79" t="s">
        <v>310</v>
      </c>
      <c r="M30" s="79" t="s">
        <v>309</v>
      </c>
    </row>
    <row r="31" spans="1:13" ht="90" x14ac:dyDescent="0.25">
      <c r="A31" s="83" t="s">
        <v>140</v>
      </c>
      <c r="B31" s="79" t="s">
        <v>11</v>
      </c>
      <c r="C31" s="79" t="s">
        <v>15</v>
      </c>
      <c r="D31" s="79"/>
      <c r="E31" s="79" t="s">
        <v>184</v>
      </c>
      <c r="F31" s="79" t="s">
        <v>3</v>
      </c>
      <c r="G31" s="79" t="s">
        <v>145</v>
      </c>
      <c r="H31" s="79" t="s">
        <v>301</v>
      </c>
      <c r="I31" s="79" t="s">
        <v>239</v>
      </c>
      <c r="J31" s="79" t="s">
        <v>240</v>
      </c>
      <c r="K31" s="79"/>
      <c r="L31" s="79" t="s">
        <v>146</v>
      </c>
      <c r="M31" s="79" t="s">
        <v>147</v>
      </c>
    </row>
    <row r="32" spans="1:13" ht="90" x14ac:dyDescent="0.25">
      <c r="A32" s="83" t="s">
        <v>140</v>
      </c>
      <c r="B32" s="79" t="s">
        <v>11</v>
      </c>
      <c r="C32" s="79" t="s">
        <v>15</v>
      </c>
      <c r="D32" s="79"/>
      <c r="E32" s="79" t="s">
        <v>185</v>
      </c>
      <c r="F32" s="79" t="s">
        <v>4</v>
      </c>
      <c r="G32" s="79" t="s">
        <v>148</v>
      </c>
      <c r="H32" s="79" t="s">
        <v>301</v>
      </c>
      <c r="I32" s="79" t="s">
        <v>241</v>
      </c>
      <c r="J32" s="79" t="s">
        <v>240</v>
      </c>
      <c r="K32" s="79"/>
      <c r="L32" s="79" t="s">
        <v>149</v>
      </c>
      <c r="M32" s="79" t="s">
        <v>150</v>
      </c>
    </row>
    <row r="33" spans="1:13" ht="90" x14ac:dyDescent="0.25">
      <c r="A33" s="83" t="s">
        <v>140</v>
      </c>
      <c r="B33" s="79" t="s">
        <v>11</v>
      </c>
      <c r="C33" s="79" t="s">
        <v>15</v>
      </c>
      <c r="D33" s="79"/>
      <c r="E33" s="79" t="s">
        <v>186</v>
      </c>
      <c r="F33" s="79" t="s">
        <v>187</v>
      </c>
      <c r="G33" s="79" t="s">
        <v>151</v>
      </c>
      <c r="H33" s="79" t="s">
        <v>301</v>
      </c>
      <c r="I33" s="79" t="s">
        <v>242</v>
      </c>
      <c r="J33" s="79" t="s">
        <v>240</v>
      </c>
      <c r="K33" s="79"/>
      <c r="L33" s="79" t="s">
        <v>149</v>
      </c>
      <c r="M33" s="79" t="s">
        <v>152</v>
      </c>
    </row>
    <row r="34" spans="1:13" ht="90" x14ac:dyDescent="0.25">
      <c r="A34" s="83" t="s">
        <v>140</v>
      </c>
      <c r="B34" s="79" t="s">
        <v>11</v>
      </c>
      <c r="C34" s="79" t="s">
        <v>15</v>
      </c>
      <c r="D34" s="79"/>
      <c r="E34" s="79" t="s">
        <v>188</v>
      </c>
      <c r="F34" s="79" t="s">
        <v>189</v>
      </c>
      <c r="G34" s="79" t="s">
        <v>153</v>
      </c>
      <c r="H34" s="79" t="s">
        <v>301</v>
      </c>
      <c r="I34" s="79" t="s">
        <v>243</v>
      </c>
      <c r="J34" s="79" t="s">
        <v>240</v>
      </c>
      <c r="K34" s="79"/>
      <c r="L34" s="79" t="s">
        <v>149</v>
      </c>
      <c r="M34" s="79" t="s">
        <v>154</v>
      </c>
    </row>
    <row r="35" spans="1:13" ht="135" x14ac:dyDescent="0.25">
      <c r="A35" s="83" t="s">
        <v>140</v>
      </c>
      <c r="B35" s="79" t="s">
        <v>11</v>
      </c>
      <c r="C35" s="79" t="s">
        <v>16</v>
      </c>
      <c r="D35" s="79"/>
      <c r="E35" s="79" t="s">
        <v>190</v>
      </c>
      <c r="F35" s="79" t="s">
        <v>191</v>
      </c>
      <c r="G35" s="79" t="s">
        <v>23</v>
      </c>
      <c r="H35" s="79" t="s">
        <v>301</v>
      </c>
      <c r="I35" s="79" t="s">
        <v>244</v>
      </c>
      <c r="J35" s="79" t="s">
        <v>245</v>
      </c>
      <c r="K35" s="79" t="s">
        <v>246</v>
      </c>
      <c r="L35" s="79" t="s">
        <v>149</v>
      </c>
      <c r="M35" s="79" t="s">
        <v>155</v>
      </c>
    </row>
    <row r="36" spans="1:13" ht="165" x14ac:dyDescent="0.25">
      <c r="A36" s="83" t="s">
        <v>140</v>
      </c>
      <c r="B36" s="79" t="s">
        <v>11</v>
      </c>
      <c r="C36" s="79" t="s">
        <v>16</v>
      </c>
      <c r="D36" s="79"/>
      <c r="E36" s="79" t="s">
        <v>192</v>
      </c>
      <c r="F36" s="79" t="s">
        <v>193</v>
      </c>
      <c r="G36" s="79" t="s">
        <v>22</v>
      </c>
      <c r="H36" s="79" t="s">
        <v>301</v>
      </c>
      <c r="I36" s="79" t="s">
        <v>247</v>
      </c>
      <c r="J36" s="79" t="s">
        <v>248</v>
      </c>
      <c r="K36" s="79" t="s">
        <v>249</v>
      </c>
      <c r="L36" s="79" t="s">
        <v>149</v>
      </c>
      <c r="M36" s="79" t="s">
        <v>156</v>
      </c>
    </row>
    <row r="37" spans="1:13" ht="45" x14ac:dyDescent="0.25">
      <c r="A37" s="83" t="s">
        <v>140</v>
      </c>
      <c r="B37" s="79" t="s">
        <v>11</v>
      </c>
      <c r="C37" s="79" t="s">
        <v>38</v>
      </c>
      <c r="D37" s="79"/>
      <c r="E37" s="79" t="s">
        <v>194</v>
      </c>
      <c r="F37" s="79" t="s">
        <v>76</v>
      </c>
      <c r="G37" s="79" t="s">
        <v>195</v>
      </c>
      <c r="H37" s="79" t="s">
        <v>301</v>
      </c>
      <c r="I37" s="79" t="s">
        <v>251</v>
      </c>
      <c r="J37" s="79" t="s">
        <v>250</v>
      </c>
      <c r="K37" s="79"/>
      <c r="L37" s="79" t="s">
        <v>137</v>
      </c>
      <c r="M37" s="79" t="s">
        <v>138</v>
      </c>
    </row>
    <row r="38" spans="1:13" ht="45" x14ac:dyDescent="0.25">
      <c r="A38" s="83" t="s">
        <v>140</v>
      </c>
      <c r="B38" s="79" t="s">
        <v>11</v>
      </c>
      <c r="C38" s="79" t="s">
        <v>38</v>
      </c>
      <c r="D38" s="79"/>
      <c r="E38" s="79"/>
      <c r="F38" s="79" t="s">
        <v>316</v>
      </c>
      <c r="G38" s="79" t="s">
        <v>316</v>
      </c>
      <c r="H38" s="79" t="s">
        <v>300</v>
      </c>
      <c r="I38" s="79"/>
      <c r="J38" s="79"/>
      <c r="K38" s="79"/>
      <c r="L38" s="79" t="s">
        <v>315</v>
      </c>
      <c r="M38" s="79"/>
    </row>
    <row r="39" spans="1:13" ht="90" x14ac:dyDescent="0.25">
      <c r="A39" s="83" t="s">
        <v>140</v>
      </c>
      <c r="B39" s="79" t="s">
        <v>11</v>
      </c>
      <c r="C39" s="79" t="s">
        <v>38</v>
      </c>
      <c r="D39" s="79"/>
      <c r="E39" s="79" t="s">
        <v>196</v>
      </c>
      <c r="F39" s="79" t="s">
        <v>197</v>
      </c>
      <c r="G39" s="79" t="s">
        <v>198</v>
      </c>
      <c r="H39" s="79" t="s">
        <v>301</v>
      </c>
      <c r="I39" s="79" t="s">
        <v>252</v>
      </c>
      <c r="J39" s="79" t="s">
        <v>253</v>
      </c>
      <c r="K39" s="79"/>
      <c r="L39" s="79" t="s">
        <v>137</v>
      </c>
      <c r="M39" s="79" t="s">
        <v>138</v>
      </c>
    </row>
    <row r="40" spans="1:13" ht="90" x14ac:dyDescent="0.25">
      <c r="A40" s="83" t="s">
        <v>140</v>
      </c>
      <c r="B40" s="79" t="s">
        <v>11</v>
      </c>
      <c r="C40" s="79" t="s">
        <v>38</v>
      </c>
      <c r="D40" s="79"/>
      <c r="E40" s="79" t="s">
        <v>199</v>
      </c>
      <c r="F40" s="79" t="s">
        <v>157</v>
      </c>
      <c r="G40" s="79" t="s">
        <v>200</v>
      </c>
      <c r="H40" s="79" t="s">
        <v>301</v>
      </c>
      <c r="I40" s="79" t="s">
        <v>254</v>
      </c>
      <c r="J40" s="79" t="s">
        <v>255</v>
      </c>
      <c r="K40" s="79"/>
      <c r="L40" s="79" t="s">
        <v>137</v>
      </c>
      <c r="M40" s="79" t="s">
        <v>138</v>
      </c>
    </row>
    <row r="41" spans="1:13" ht="30" x14ac:dyDescent="0.25">
      <c r="A41" s="83" t="s">
        <v>158</v>
      </c>
      <c r="B41" s="79"/>
      <c r="C41" s="79"/>
      <c r="D41" s="79"/>
      <c r="E41" s="79"/>
      <c r="F41" s="79" t="s">
        <v>159</v>
      </c>
      <c r="G41" s="79"/>
      <c r="H41" s="79"/>
      <c r="I41" s="79"/>
      <c r="J41" s="79"/>
      <c r="K41" s="79"/>
      <c r="L41" s="79" t="s">
        <v>160</v>
      </c>
      <c r="M41" s="79" t="s">
        <v>161</v>
      </c>
    </row>
    <row r="42" spans="1:13" x14ac:dyDescent="0.25">
      <c r="A42" s="85" t="s">
        <v>158</v>
      </c>
      <c r="B42" s="79"/>
      <c r="C42" s="79"/>
      <c r="D42" s="79"/>
      <c r="E42" s="79"/>
      <c r="F42" s="79" t="s">
        <v>162</v>
      </c>
      <c r="G42" s="79"/>
      <c r="H42" s="79"/>
      <c r="I42" s="79"/>
      <c r="J42" s="79"/>
      <c r="K42" s="79"/>
      <c r="L42" s="79" t="s">
        <v>149</v>
      </c>
      <c r="M42" s="88" t="s">
        <v>263</v>
      </c>
    </row>
  </sheetData>
  <mergeCells count="1">
    <mergeCell ref="A1:M1"/>
  </mergeCells>
  <hyperlinks>
    <hyperlink ref="M13" r:id="rId1"/>
    <hyperlink ref="M14" r:id="rId2"/>
    <hyperlink ref="M28" r:id="rId3"/>
    <hyperlink ref="M31" r:id="rId4"/>
    <hyperlink ref="M23" r:id="rId5"/>
    <hyperlink ref="M39" r:id="rId6"/>
    <hyperlink ref="M40" r:id="rId7"/>
    <hyperlink ref="M3" r:id="rId8"/>
    <hyperlink ref="M6" r:id="rId9"/>
    <hyperlink ref="M29" r:id="rId10"/>
    <hyperlink ref="M7" r:id="rId11"/>
    <hyperlink ref="M26" r:id="rId12"/>
    <hyperlink ref="M36" r:id="rId13"/>
    <hyperlink ref="M35" r:id="rId14"/>
    <hyperlink ref="M33" r:id="rId15"/>
    <hyperlink ref="M34" r:id="rId16"/>
    <hyperlink ref="M32" r:id="rId17"/>
    <hyperlink ref="M37" r:id="rId18"/>
    <hyperlink ref="M41" r:id="rId19"/>
    <hyperlink ref="M18" r:id="rId20"/>
    <hyperlink ref="M19" r:id="rId21" display="http://stats.uis.unesco.org/unesco"/>
    <hyperlink ref="M21" r:id="rId22" display="http://preview.grid.unep.ch/"/>
    <hyperlink ref="M22" r:id="rId23" display="http://preview.grid.unep.ch/"/>
    <hyperlink ref="M20" r:id="rId24" display="http://preview.grid.unep.ch/"/>
    <hyperlink ref="M24" r:id="rId25"/>
    <hyperlink ref="M16" r:id="rId26"/>
    <hyperlink ref="M42" r:id="rId27"/>
    <hyperlink ref="M8" r:id="rId28"/>
    <hyperlink ref="M4" r:id="rId29"/>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workbookViewId="0">
      <selection activeCell="B8" sqref="B8"/>
    </sheetView>
  </sheetViews>
  <sheetFormatPr defaultColWidth="8.85546875" defaultRowHeight="15" x14ac:dyDescent="0.25"/>
  <cols>
    <col min="1" max="1" width="70.42578125" bestFit="1" customWidth="1"/>
    <col min="2" max="2" width="21.85546875" bestFit="1" customWidth="1"/>
  </cols>
  <sheetData>
    <row r="1" spans="1:2" ht="23.25" x14ac:dyDescent="0.25">
      <c r="A1" s="101" t="s">
        <v>63</v>
      </c>
      <c r="B1" s="165" t="s">
        <v>50</v>
      </c>
    </row>
    <row r="2" spans="1:2" s="16" customFormat="1" ht="12" customHeight="1" x14ac:dyDescent="0.25">
      <c r="A2" s="102"/>
      <c r="B2" s="165"/>
    </row>
    <row r="3" spans="1:2" s="16" customFormat="1" ht="14.25" customHeight="1" x14ac:dyDescent="0.25">
      <c r="A3" s="76"/>
      <c r="B3" s="77"/>
    </row>
    <row r="4" spans="1:2" x14ac:dyDescent="0.25">
      <c r="A4" s="17" t="s">
        <v>49</v>
      </c>
      <c r="B4" s="16"/>
    </row>
    <row r="5" spans="1:2" ht="18.75" customHeight="1" x14ac:dyDescent="0.25">
      <c r="A5" t="s">
        <v>51</v>
      </c>
      <c r="B5" s="78" t="s">
        <v>705</v>
      </c>
    </row>
    <row r="6" spans="1:2" ht="18.75" customHeight="1" x14ac:dyDescent="0.25">
      <c r="A6" t="s">
        <v>66</v>
      </c>
      <c r="B6" s="78" t="s">
        <v>65</v>
      </c>
    </row>
    <row r="7" spans="1:2" ht="18.75" customHeight="1" x14ac:dyDescent="0.25">
      <c r="A7" s="16" t="s">
        <v>52</v>
      </c>
      <c r="B7" s="78" t="s">
        <v>17</v>
      </c>
    </row>
    <row r="8" spans="1:2" ht="18.75" customHeight="1" x14ac:dyDescent="0.25">
      <c r="A8" s="16" t="s">
        <v>53</v>
      </c>
      <c r="B8" s="78" t="s">
        <v>67</v>
      </c>
    </row>
    <row r="9" spans="1:2" s="16" customFormat="1" ht="18.75" customHeight="1" x14ac:dyDescent="0.25">
      <c r="A9" s="16" t="s">
        <v>259</v>
      </c>
      <c r="B9" s="86" t="s">
        <v>259</v>
      </c>
    </row>
    <row r="10" spans="1:2" ht="18.75" customHeight="1" x14ac:dyDescent="0.25">
      <c r="A10" t="s">
        <v>260</v>
      </c>
      <c r="B10" s="78" t="s">
        <v>260</v>
      </c>
    </row>
    <row r="11" spans="1:2" ht="18.75" customHeight="1" x14ac:dyDescent="0.25">
      <c r="A11" t="s">
        <v>261</v>
      </c>
      <c r="B11" s="78" t="s">
        <v>261</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0" location="'Data Source'!A1" display="Data sources"/>
    <hyperlink ref="B9" location="'Indicator Data'!A1" display="Indicator Data"/>
    <hyperlink ref="B11" location="Regions!A1" display="Regions!A1"/>
  </hyperlink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49"/>
  <sheetViews>
    <sheetView showGridLines="0" tabSelected="1" zoomScale="90" zoomScaleNormal="90" zoomScalePageLayoutView="90" workbookViewId="0">
      <pane xSplit="4" ySplit="3" topLeftCell="E4" activePane="bottomRight" state="frozen"/>
      <selection pane="topRight" activeCell="E1" sqref="E1"/>
      <selection pane="bottomLeft" activeCell="A4" sqref="A4"/>
      <selection pane="bottomRight" activeCell="E9" sqref="E9"/>
    </sheetView>
  </sheetViews>
  <sheetFormatPr defaultColWidth="8.85546875" defaultRowHeight="15" x14ac:dyDescent="0.25"/>
  <cols>
    <col min="1" max="1" width="12.42578125" style="11" bestFit="1" customWidth="1"/>
    <col min="2" max="2" width="21.140625" style="11" customWidth="1"/>
    <col min="3" max="3" width="8.42578125" style="11" customWidth="1"/>
    <col min="4" max="4" width="8.85546875" style="11" customWidth="1"/>
    <col min="5" max="10" width="7.7109375" style="11" customWidth="1"/>
    <col min="11" max="11" width="8.140625" style="11" customWidth="1"/>
    <col min="12" max="31" width="7.7109375" style="11" customWidth="1"/>
    <col min="32" max="16384" width="8.85546875" style="11"/>
  </cols>
  <sheetData>
    <row r="1" spans="1:31" ht="15.75" customHeight="1" x14ac:dyDescent="0.3">
      <c r="A1" s="166"/>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6"/>
      <c r="AE1" s="166"/>
    </row>
    <row r="2" spans="1:31" s="9" customFormat="1" ht="114" customHeight="1" thickBot="1" x14ac:dyDescent="0.35">
      <c r="A2" s="116" t="s">
        <v>14</v>
      </c>
      <c r="B2" s="116" t="s">
        <v>270</v>
      </c>
      <c r="C2" s="116" t="s">
        <v>0</v>
      </c>
      <c r="D2" s="163" t="s">
        <v>271</v>
      </c>
      <c r="E2" s="148" t="s">
        <v>59</v>
      </c>
      <c r="F2" s="148" t="s">
        <v>689</v>
      </c>
      <c r="G2" s="103" t="s">
        <v>8</v>
      </c>
      <c r="H2" s="148" t="s">
        <v>274</v>
      </c>
      <c r="I2" s="148" t="s">
        <v>707</v>
      </c>
      <c r="J2" s="103" t="s">
        <v>9</v>
      </c>
      <c r="K2" s="104" t="s">
        <v>12</v>
      </c>
      <c r="L2" s="105" t="s">
        <v>42</v>
      </c>
      <c r="M2" s="105" t="s">
        <v>28</v>
      </c>
      <c r="N2" s="106" t="s">
        <v>87</v>
      </c>
      <c r="O2" s="105" t="s">
        <v>27</v>
      </c>
      <c r="P2" s="105" t="s">
        <v>40</v>
      </c>
      <c r="Q2" s="106" t="s">
        <v>35</v>
      </c>
      <c r="R2" s="107" t="s">
        <v>13</v>
      </c>
      <c r="S2" s="108" t="s">
        <v>36</v>
      </c>
      <c r="T2" s="108" t="s">
        <v>37</v>
      </c>
      <c r="U2" s="109" t="s">
        <v>10</v>
      </c>
      <c r="V2" s="108" t="s">
        <v>733</v>
      </c>
      <c r="W2" s="108" t="s">
        <v>734</v>
      </c>
      <c r="X2" s="108" t="s">
        <v>735</v>
      </c>
      <c r="Y2" s="109" t="s">
        <v>11</v>
      </c>
      <c r="Z2" s="108" t="s">
        <v>712</v>
      </c>
      <c r="AA2" s="108" t="s">
        <v>713</v>
      </c>
      <c r="AB2" s="108" t="s">
        <v>714</v>
      </c>
      <c r="AC2" s="109" t="s">
        <v>715</v>
      </c>
      <c r="AD2" s="110" t="s">
        <v>268</v>
      </c>
      <c r="AE2" s="111" t="s">
        <v>39</v>
      </c>
    </row>
    <row r="3" spans="1:31" s="114" customFormat="1" ht="15" customHeight="1" thickTop="1" x14ac:dyDescent="0.25">
      <c r="A3" s="112" t="s">
        <v>266</v>
      </c>
      <c r="B3" s="112" t="s">
        <v>266</v>
      </c>
      <c r="C3" s="112" t="s">
        <v>266</v>
      </c>
      <c r="D3" s="112" t="s">
        <v>266</v>
      </c>
      <c r="E3" s="113" t="s">
        <v>267</v>
      </c>
      <c r="F3" s="113" t="s">
        <v>267</v>
      </c>
      <c r="G3" s="113" t="s">
        <v>267</v>
      </c>
      <c r="H3" s="113" t="s">
        <v>267</v>
      </c>
      <c r="I3" s="113" t="s">
        <v>267</v>
      </c>
      <c r="J3" s="113" t="s">
        <v>267</v>
      </c>
      <c r="K3" s="113" t="s">
        <v>267</v>
      </c>
      <c r="L3" s="113" t="s">
        <v>267</v>
      </c>
      <c r="M3" s="113" t="s">
        <v>267</v>
      </c>
      <c r="N3" s="113" t="s">
        <v>267</v>
      </c>
      <c r="O3" s="113" t="s">
        <v>267</v>
      </c>
      <c r="P3" s="113" t="s">
        <v>267</v>
      </c>
      <c r="Q3" s="113" t="s">
        <v>267</v>
      </c>
      <c r="R3" s="113" t="s">
        <v>267</v>
      </c>
      <c r="S3" s="113" t="s">
        <v>267</v>
      </c>
      <c r="T3" s="113" t="s">
        <v>267</v>
      </c>
      <c r="U3" s="113" t="s">
        <v>267</v>
      </c>
      <c r="V3" s="113" t="s">
        <v>267</v>
      </c>
      <c r="W3" s="113" t="s">
        <v>267</v>
      </c>
      <c r="X3" s="113" t="s">
        <v>267</v>
      </c>
      <c r="Y3" s="113" t="s">
        <v>267</v>
      </c>
      <c r="Z3" s="113" t="s">
        <v>267</v>
      </c>
      <c r="AA3" s="113" t="s">
        <v>267</v>
      </c>
      <c r="AB3" s="113" t="s">
        <v>267</v>
      </c>
      <c r="AC3" s="113" t="s">
        <v>267</v>
      </c>
      <c r="AD3" s="113" t="s">
        <v>267</v>
      </c>
      <c r="AE3" s="113" t="s">
        <v>267</v>
      </c>
    </row>
    <row r="4" spans="1:31" x14ac:dyDescent="0.25">
      <c r="A4" s="117" t="s">
        <v>372</v>
      </c>
      <c r="B4" s="115" t="s">
        <v>381</v>
      </c>
      <c r="C4" s="115" t="s">
        <v>574</v>
      </c>
      <c r="D4" s="93" t="s">
        <v>382</v>
      </c>
      <c r="E4" s="12">
        <f>'Hazard &amp; Exposure'!O29</f>
        <v>0</v>
      </c>
      <c r="F4" s="12">
        <f>'Hazard &amp; Exposure'!P29</f>
        <v>0</v>
      </c>
      <c r="G4" s="159">
        <f>'Hazard &amp; Exposure'!Q29</f>
        <v>0</v>
      </c>
      <c r="H4" s="12">
        <f>'Hazard &amp; Exposure'!W29</f>
        <v>0</v>
      </c>
      <c r="I4" s="12">
        <f>'Hazard &amp; Exposure'!T29</f>
        <v>1.5843993531593625</v>
      </c>
      <c r="J4" s="12">
        <f>'Hazard &amp; Exposure'!AA29</f>
        <v>0.79219967657968127</v>
      </c>
      <c r="K4" s="12">
        <f t="shared" ref="K4:K35" si="0">(10-GEOMEAN(((10-G4)/10*9+1),((10-J4)/10*9+1)))/9*10</f>
        <v>0.4034236159143233</v>
      </c>
      <c r="L4" s="12">
        <f>Vulnerability!J29</f>
        <v>7.804022832959391</v>
      </c>
      <c r="M4" s="12" t="str">
        <f>Vulnerability!O29</f>
        <v>x</v>
      </c>
      <c r="N4" s="12">
        <f t="shared" ref="N4:N35" si="1">AVERAGE(L4,L4,M4)</f>
        <v>7.804022832959391</v>
      </c>
      <c r="O4" s="12">
        <f>Vulnerability!AA29</f>
        <v>1.7258979215304573</v>
      </c>
      <c r="P4" s="12">
        <f>Vulnerability!AG29</f>
        <v>0</v>
      </c>
      <c r="Q4" s="12">
        <f t="shared" ref="Q4:Q35" si="2">(10-GEOMEAN(((10-O4)/10*9+1),((10-P4)/10*9+1)))/9*10</f>
        <v>0.89934600654196317</v>
      </c>
      <c r="R4" s="12">
        <f t="shared" ref="R4:R35" si="3">(10-GEOMEAN(((10-N4)/10*9+1),((10-Q4)/10*9+1)))/9*10</f>
        <v>5.2998110262282623</v>
      </c>
      <c r="S4" s="12">
        <f>'Lack of Coping Capacity'!F29</f>
        <v>9.5578808915331823</v>
      </c>
      <c r="T4" s="12">
        <f>'Lack of Coping Capacity'!I29</f>
        <v>8.1433948040008541</v>
      </c>
      <c r="U4" s="12">
        <f>'Lack of Coping Capacity'!J29</f>
        <v>8.8506378477670182</v>
      </c>
      <c r="V4" s="12">
        <f>'Lack of Coping Capacity'!M29</f>
        <v>9.6298512269200014</v>
      </c>
      <c r="W4" s="12">
        <f>'Lack of Coping Capacity'!S29</f>
        <v>5.9995525750559278</v>
      </c>
      <c r="X4" s="12" t="str">
        <f>'Lack of Coping Capacity'!U29</f>
        <v>x</v>
      </c>
      <c r="Y4" s="12">
        <f>'Lack of Coping Capacity'!V29</f>
        <v>7.8147019009879646</v>
      </c>
      <c r="Z4" s="12">
        <f>'Lack of Coping Capacity'!AB29</f>
        <v>5.3025027406487668</v>
      </c>
      <c r="AA4" s="12">
        <f>'Lack of Coping Capacity'!AI29</f>
        <v>8.444126969850851</v>
      </c>
      <c r="AB4" s="12">
        <f>'Lack of Coping Capacity'!AE29</f>
        <v>9.8580000000000005</v>
      </c>
      <c r="AC4" s="12">
        <f>'Lack of Coping Capacity'!AJ29</f>
        <v>7.8682099034998716</v>
      </c>
      <c r="AD4" s="12">
        <f t="shared" ref="AD4:AD35" si="4">(10-GEOMEAN(((10-U4)/10*9+1),((10-Y4)/10*9+1),((10-AC4)/10*9+1)))/9*10</f>
        <v>8.2200446825829019</v>
      </c>
      <c r="AE4" s="12">
        <f t="shared" ref="AE4:AE35" si="5">K4^(1/3)*R4^(1/3)*AD4^(1/3)</f>
        <v>2.5999517802438334</v>
      </c>
    </row>
    <row r="5" spans="1:31" x14ac:dyDescent="0.25">
      <c r="A5" s="117" t="s">
        <v>372</v>
      </c>
      <c r="B5" s="115" t="s">
        <v>377</v>
      </c>
      <c r="C5" s="115" t="s">
        <v>574</v>
      </c>
      <c r="D5" s="93" t="s">
        <v>378</v>
      </c>
      <c r="E5" s="12">
        <f>'Hazard &amp; Exposure'!O27</f>
        <v>9.5434873032947576E-4</v>
      </c>
      <c r="F5" s="12">
        <f>'Hazard &amp; Exposure'!P27</f>
        <v>1.8783333292999891</v>
      </c>
      <c r="G5" s="159">
        <f>'Hazard &amp; Exposure'!Q27</f>
        <v>0.98305065966494742</v>
      </c>
      <c r="H5" s="12">
        <f>'Hazard &amp; Exposure'!W27</f>
        <v>0</v>
      </c>
      <c r="I5" s="12">
        <f>'Hazard &amp; Exposure'!T27</f>
        <v>1.5843993531593625</v>
      </c>
      <c r="J5" s="12">
        <f>'Hazard &amp; Exposure'!AA27</f>
        <v>0.79219967657968127</v>
      </c>
      <c r="K5" s="12">
        <f t="shared" si="0"/>
        <v>0.88807052613574911</v>
      </c>
      <c r="L5" s="12">
        <f>Vulnerability!J27</f>
        <v>7.804022832959391</v>
      </c>
      <c r="M5" s="12" t="str">
        <f>Vulnerability!O27</f>
        <v>x</v>
      </c>
      <c r="N5" s="12">
        <f t="shared" si="1"/>
        <v>7.804022832959391</v>
      </c>
      <c r="O5" s="12">
        <f>Vulnerability!AA27</f>
        <v>1.7258979215304573</v>
      </c>
      <c r="P5" s="12">
        <f>Vulnerability!AG27</f>
        <v>0</v>
      </c>
      <c r="Q5" s="12">
        <f t="shared" si="2"/>
        <v>0.89934600654196317</v>
      </c>
      <c r="R5" s="12">
        <f t="shared" si="3"/>
        <v>5.2998110262282623</v>
      </c>
      <c r="S5" s="12">
        <f>'Lack of Coping Capacity'!F27</f>
        <v>9.5578808915331823</v>
      </c>
      <c r="T5" s="12">
        <f>'Lack of Coping Capacity'!I27</f>
        <v>8.1433948040008541</v>
      </c>
      <c r="U5" s="12">
        <f>'Lack of Coping Capacity'!J27</f>
        <v>8.8506378477670182</v>
      </c>
      <c r="V5" s="12">
        <f>'Lack of Coping Capacity'!M27</f>
        <v>9.6298512269200014</v>
      </c>
      <c r="W5" s="12">
        <f>'Lack of Coping Capacity'!S27</f>
        <v>5.9995525750559278</v>
      </c>
      <c r="X5" s="12" t="str">
        <f>'Lack of Coping Capacity'!U27</f>
        <v>x</v>
      </c>
      <c r="Y5" s="12">
        <f>'Lack of Coping Capacity'!V27</f>
        <v>7.8147019009879646</v>
      </c>
      <c r="Z5" s="12">
        <f>'Lack of Coping Capacity'!AB27</f>
        <v>5.3025027406487668</v>
      </c>
      <c r="AA5" s="12">
        <f>'Lack of Coping Capacity'!AI27</f>
        <v>8.444126969850851</v>
      </c>
      <c r="AB5" s="12">
        <f>'Lack of Coping Capacity'!AE27</f>
        <v>9.8580000000000005</v>
      </c>
      <c r="AC5" s="12">
        <f>'Lack of Coping Capacity'!AJ27</f>
        <v>7.8682099034998716</v>
      </c>
      <c r="AD5" s="12">
        <f t="shared" si="4"/>
        <v>8.2200446825829019</v>
      </c>
      <c r="AE5" s="12">
        <f t="shared" si="5"/>
        <v>3.3821588902452056</v>
      </c>
    </row>
    <row r="6" spans="1:31" x14ac:dyDescent="0.25">
      <c r="A6" s="117" t="s">
        <v>372</v>
      </c>
      <c r="B6" s="115" t="s">
        <v>379</v>
      </c>
      <c r="C6" s="115" t="s">
        <v>574</v>
      </c>
      <c r="D6" s="93" t="s">
        <v>380</v>
      </c>
      <c r="E6" s="12">
        <f>'Hazard &amp; Exposure'!O28</f>
        <v>2.3093789480426361</v>
      </c>
      <c r="F6" s="12">
        <f>'Hazard &amp; Exposure'!P28</f>
        <v>0.88538092353798459</v>
      </c>
      <c r="G6" s="159">
        <f>'Hazard &amp; Exposure'!Q28</f>
        <v>1.6240600264577449</v>
      </c>
      <c r="H6" s="12">
        <f>'Hazard &amp; Exposure'!W28</f>
        <v>0</v>
      </c>
      <c r="I6" s="12">
        <f>'Hazard &amp; Exposure'!T28</f>
        <v>1.5843993531593625</v>
      </c>
      <c r="J6" s="12">
        <f>'Hazard &amp; Exposure'!AA28</f>
        <v>0.79219967657968127</v>
      </c>
      <c r="K6" s="12">
        <f t="shared" si="0"/>
        <v>1.2168683448650046</v>
      </c>
      <c r="L6" s="12">
        <f>Vulnerability!J28</f>
        <v>7.804022832959391</v>
      </c>
      <c r="M6" s="12" t="str">
        <f>Vulnerability!O28</f>
        <v>x</v>
      </c>
      <c r="N6" s="12">
        <f t="shared" si="1"/>
        <v>7.804022832959391</v>
      </c>
      <c r="O6" s="12">
        <f>Vulnerability!AA28</f>
        <v>1.7258979215304573</v>
      </c>
      <c r="P6" s="12">
        <f>Vulnerability!AG28</f>
        <v>0</v>
      </c>
      <c r="Q6" s="12">
        <f t="shared" si="2"/>
        <v>0.89934600654196317</v>
      </c>
      <c r="R6" s="12">
        <f t="shared" si="3"/>
        <v>5.2998110262282623</v>
      </c>
      <c r="S6" s="12">
        <f>'Lack of Coping Capacity'!F28</f>
        <v>9.5578808915331823</v>
      </c>
      <c r="T6" s="12">
        <f>'Lack of Coping Capacity'!I28</f>
        <v>8.1433948040008541</v>
      </c>
      <c r="U6" s="12">
        <f>'Lack of Coping Capacity'!J28</f>
        <v>8.8506378477670182</v>
      </c>
      <c r="V6" s="12">
        <f>'Lack of Coping Capacity'!M28</f>
        <v>9.6298512269200014</v>
      </c>
      <c r="W6" s="12">
        <f>'Lack of Coping Capacity'!S28</f>
        <v>5.9995525750559278</v>
      </c>
      <c r="X6" s="12" t="str">
        <f>'Lack of Coping Capacity'!U28</f>
        <v>x</v>
      </c>
      <c r="Y6" s="12">
        <f>'Lack of Coping Capacity'!V28</f>
        <v>7.8147019009879646</v>
      </c>
      <c r="Z6" s="12">
        <f>'Lack of Coping Capacity'!AB28</f>
        <v>5.3025027406487668</v>
      </c>
      <c r="AA6" s="12">
        <f>'Lack of Coping Capacity'!AI28</f>
        <v>8.444126969850851</v>
      </c>
      <c r="AB6" s="12">
        <f>'Lack of Coping Capacity'!AE28</f>
        <v>9.8580000000000005</v>
      </c>
      <c r="AC6" s="12">
        <f>'Lack of Coping Capacity'!AJ28</f>
        <v>7.8682099034998716</v>
      </c>
      <c r="AD6" s="12">
        <f t="shared" si="4"/>
        <v>8.2200446825829019</v>
      </c>
      <c r="AE6" s="12">
        <f t="shared" si="5"/>
        <v>3.75658066418438</v>
      </c>
    </row>
    <row r="7" spans="1:31" x14ac:dyDescent="0.25">
      <c r="A7" s="117" t="s">
        <v>372</v>
      </c>
      <c r="B7" s="115" t="s">
        <v>373</v>
      </c>
      <c r="C7" s="115" t="s">
        <v>574</v>
      </c>
      <c r="D7" s="93" t="s">
        <v>374</v>
      </c>
      <c r="E7" s="12">
        <f>'Hazard &amp; Exposure'!O25</f>
        <v>0</v>
      </c>
      <c r="F7" s="12">
        <f>'Hazard &amp; Exposure'!P25</f>
        <v>0.72427541753592251</v>
      </c>
      <c r="G7" s="159">
        <f>'Hazard &amp; Exposure'!Q25</f>
        <v>0.36823973125326737</v>
      </c>
      <c r="H7" s="12">
        <f>'Hazard &amp; Exposure'!W25</f>
        <v>4</v>
      </c>
      <c r="I7" s="12">
        <f>'Hazard &amp; Exposure'!T25</f>
        <v>1.5843993531593625</v>
      </c>
      <c r="J7" s="12">
        <f>'Hazard &amp; Exposure'!AA25</f>
        <v>2.7921996765796813</v>
      </c>
      <c r="K7" s="12">
        <f t="shared" si="0"/>
        <v>1.6575934821224259</v>
      </c>
      <c r="L7" s="12">
        <f>Vulnerability!J25</f>
        <v>7.804022832959391</v>
      </c>
      <c r="M7" s="12" t="str">
        <f>Vulnerability!O25</f>
        <v>x</v>
      </c>
      <c r="N7" s="12">
        <f t="shared" si="1"/>
        <v>7.804022832959391</v>
      </c>
      <c r="O7" s="12">
        <f>Vulnerability!AA25</f>
        <v>1.7258979215304573</v>
      </c>
      <c r="P7" s="12">
        <f>Vulnerability!AG25</f>
        <v>0</v>
      </c>
      <c r="Q7" s="12">
        <f t="shared" si="2"/>
        <v>0.89934600654196317</v>
      </c>
      <c r="R7" s="12">
        <f t="shared" si="3"/>
        <v>5.2998110262282623</v>
      </c>
      <c r="S7" s="12">
        <f>'Lack of Coping Capacity'!F25</f>
        <v>9.5578808915331823</v>
      </c>
      <c r="T7" s="12">
        <f>'Lack of Coping Capacity'!I25</f>
        <v>8.1433948040008541</v>
      </c>
      <c r="U7" s="12">
        <f>'Lack of Coping Capacity'!J25</f>
        <v>8.8506378477670182</v>
      </c>
      <c r="V7" s="12">
        <f>'Lack of Coping Capacity'!M25</f>
        <v>9.6298512269200014</v>
      </c>
      <c r="W7" s="12">
        <f>'Lack of Coping Capacity'!S25</f>
        <v>5.9995525750559278</v>
      </c>
      <c r="X7" s="12" t="str">
        <f>'Lack of Coping Capacity'!U25</f>
        <v>x</v>
      </c>
      <c r="Y7" s="12">
        <f>'Lack of Coping Capacity'!V25</f>
        <v>7.8147019009879646</v>
      </c>
      <c r="Z7" s="12">
        <f>'Lack of Coping Capacity'!AB25</f>
        <v>5.3025027406487668</v>
      </c>
      <c r="AA7" s="12">
        <f>'Lack of Coping Capacity'!AI25</f>
        <v>8.444126969850851</v>
      </c>
      <c r="AB7" s="12">
        <f>'Lack of Coping Capacity'!AE25</f>
        <v>9.8580000000000005</v>
      </c>
      <c r="AC7" s="12">
        <f>'Lack of Coping Capacity'!AJ25</f>
        <v>7.8682099034998716</v>
      </c>
      <c r="AD7" s="12">
        <f t="shared" si="4"/>
        <v>8.2200446825829019</v>
      </c>
      <c r="AE7" s="12">
        <f t="shared" si="5"/>
        <v>4.1642570628755085</v>
      </c>
    </row>
    <row r="8" spans="1:31" x14ac:dyDescent="0.25">
      <c r="A8" s="117" t="s">
        <v>362</v>
      </c>
      <c r="B8" s="115" t="s">
        <v>363</v>
      </c>
      <c r="C8" s="115" t="s">
        <v>573</v>
      </c>
      <c r="D8" s="93" t="s">
        <v>364</v>
      </c>
      <c r="E8" s="12">
        <f>'Hazard &amp; Exposure'!O20</f>
        <v>1.9081840952800377</v>
      </c>
      <c r="F8" s="12">
        <f>'Hazard &amp; Exposure'!P20</f>
        <v>4.5645220666151305</v>
      </c>
      <c r="G8" s="159">
        <f>'Hazard &amp; Exposure'!Q20</f>
        <v>3.3491666911132603</v>
      </c>
      <c r="H8" s="12">
        <f>'Hazard &amp; Exposure'!W20</f>
        <v>0</v>
      </c>
      <c r="I8" s="12">
        <f>'Hazard &amp; Exposure'!T20</f>
        <v>0.59937129227970432</v>
      </c>
      <c r="J8" s="12">
        <f>'Hazard &amp; Exposure'!AA20</f>
        <v>0.29968564613985216</v>
      </c>
      <c r="K8" s="12">
        <f t="shared" si="0"/>
        <v>1.9504515518841496</v>
      </c>
      <c r="L8" s="12">
        <f>Vulnerability!J20</f>
        <v>5.8371369607172197</v>
      </c>
      <c r="M8" s="12">
        <f>Vulnerability!O20</f>
        <v>3.4963800000000003</v>
      </c>
      <c r="N8" s="12">
        <f t="shared" si="1"/>
        <v>5.0568846404781462</v>
      </c>
      <c r="O8" s="12">
        <f>Vulnerability!AA20</f>
        <v>3.4783346886686872</v>
      </c>
      <c r="P8" s="12">
        <f>Vulnerability!AG20</f>
        <v>3.4215529480343903</v>
      </c>
      <c r="Q8" s="12">
        <f t="shared" si="2"/>
        <v>3.4499964241917427</v>
      </c>
      <c r="R8" s="12">
        <f t="shared" si="3"/>
        <v>4.3006688837588944</v>
      </c>
      <c r="S8" s="12">
        <f>'Lack of Coping Capacity'!F20</f>
        <v>0</v>
      </c>
      <c r="T8" s="12">
        <f>'Lack of Coping Capacity'!I20</f>
        <v>6.9845608949661262</v>
      </c>
      <c r="U8" s="12">
        <f>'Lack of Coping Capacity'!J20</f>
        <v>3.4922804474830631</v>
      </c>
      <c r="V8" s="12">
        <f>'Lack of Coping Capacity'!M20</f>
        <v>7.6517066621455054</v>
      </c>
      <c r="W8" s="12">
        <f>'Lack of Coping Capacity'!S20</f>
        <v>6.3457680825130502</v>
      </c>
      <c r="X8" s="12" t="str">
        <f>'Lack of Coping Capacity'!U20</f>
        <v>x</v>
      </c>
      <c r="Y8" s="12">
        <f>'Lack of Coping Capacity'!V20</f>
        <v>6.9987373723292778</v>
      </c>
      <c r="Z8" s="12">
        <f>'Lack of Coping Capacity'!AB20</f>
        <v>7.8046679854427206</v>
      </c>
      <c r="AA8" s="12">
        <f>'Lack of Coping Capacity'!AI20</f>
        <v>5.4606352685884971</v>
      </c>
      <c r="AB8" s="12">
        <f>'Lack of Coping Capacity'!AE20</f>
        <v>9.4471999999999987</v>
      </c>
      <c r="AC8" s="12">
        <f>'Lack of Coping Capacity'!AJ20</f>
        <v>7.5708344180104055</v>
      </c>
      <c r="AD8" s="12">
        <f t="shared" si="4"/>
        <v>6.3063400251034896</v>
      </c>
      <c r="AE8" s="12">
        <f t="shared" si="5"/>
        <v>3.7539013234824652</v>
      </c>
    </row>
    <row r="9" spans="1:31" s="10" customFormat="1" x14ac:dyDescent="0.25">
      <c r="A9" s="117" t="s">
        <v>362</v>
      </c>
      <c r="B9" s="115" t="s">
        <v>365</v>
      </c>
      <c r="C9" s="115" t="s">
        <v>573</v>
      </c>
      <c r="D9" s="93" t="s">
        <v>366</v>
      </c>
      <c r="E9" s="12" t="s">
        <v>770</v>
      </c>
      <c r="F9" s="12">
        <f>'Hazard &amp; Exposure'!P21</f>
        <v>6.2258399536981459</v>
      </c>
      <c r="G9" s="159">
        <f>'Hazard &amp; Exposure'!Q21</f>
        <v>4.3822296457165519</v>
      </c>
      <c r="H9" s="12">
        <f>'Hazard &amp; Exposure'!W21</f>
        <v>0</v>
      </c>
      <c r="I9" s="12">
        <f>'Hazard &amp; Exposure'!T21</f>
        <v>0.59937129227970432</v>
      </c>
      <c r="J9" s="12">
        <f>'Hazard &amp; Exposure'!AA21</f>
        <v>0.29968564613985216</v>
      </c>
      <c r="K9" s="12">
        <f t="shared" si="0"/>
        <v>2.5818203770735004</v>
      </c>
      <c r="L9" s="12">
        <f>Vulnerability!J21</f>
        <v>5.8371369607172197</v>
      </c>
      <c r="M9" s="12">
        <f>Vulnerability!O21</f>
        <v>3.4963800000000003</v>
      </c>
      <c r="N9" s="12">
        <f t="shared" si="1"/>
        <v>5.0568846404781462</v>
      </c>
      <c r="O9" s="12">
        <f>Vulnerability!AA21</f>
        <v>0</v>
      </c>
      <c r="P9" s="12">
        <f>Vulnerability!AG21</f>
        <v>7.5974692664795773</v>
      </c>
      <c r="Q9" s="12">
        <f t="shared" si="2"/>
        <v>4.8628741645516751</v>
      </c>
      <c r="R9" s="12">
        <f t="shared" si="3"/>
        <v>4.9606443388533314</v>
      </c>
      <c r="S9" s="12">
        <f>'Lack of Coping Capacity'!F21</f>
        <v>0</v>
      </c>
      <c r="T9" s="12">
        <f>'Lack of Coping Capacity'!I21</f>
        <v>6.9845608949661262</v>
      </c>
      <c r="U9" s="12">
        <f>'Lack of Coping Capacity'!J21</f>
        <v>3.4922804474830631</v>
      </c>
      <c r="V9" s="12">
        <f>'Lack of Coping Capacity'!M21</f>
        <v>7.6517066621455054</v>
      </c>
      <c r="W9" s="12">
        <f>'Lack of Coping Capacity'!S21</f>
        <v>6.3457680825130502</v>
      </c>
      <c r="X9" s="12" t="str">
        <f>'Lack of Coping Capacity'!U21</f>
        <v>x</v>
      </c>
      <c r="Y9" s="12">
        <f>'Lack of Coping Capacity'!V21</f>
        <v>6.9987373723292778</v>
      </c>
      <c r="Z9" s="12">
        <f>'Lack of Coping Capacity'!AB21</f>
        <v>7.8046679854427206</v>
      </c>
      <c r="AA9" s="12">
        <f>'Lack of Coping Capacity'!AI21</f>
        <v>5.4606352685884971</v>
      </c>
      <c r="AB9" s="12">
        <f>'Lack of Coping Capacity'!AE21</f>
        <v>9.4471999999999987</v>
      </c>
      <c r="AC9" s="12">
        <f>'Lack of Coping Capacity'!AJ21</f>
        <v>7.5708344180104055</v>
      </c>
      <c r="AD9" s="12">
        <f t="shared" si="4"/>
        <v>6.3063400251034896</v>
      </c>
      <c r="AE9" s="12">
        <f t="shared" si="5"/>
        <v>4.3226210703078269</v>
      </c>
    </row>
    <row r="10" spans="1:31" x14ac:dyDescent="0.25">
      <c r="A10" s="117" t="s">
        <v>456</v>
      </c>
      <c r="B10" s="115" t="s">
        <v>457</v>
      </c>
      <c r="C10" s="115" t="s">
        <v>577</v>
      </c>
      <c r="D10" s="93" t="s">
        <v>458</v>
      </c>
      <c r="E10" s="12">
        <f>'Hazard &amp; Exposure'!O89</f>
        <v>2.1196077102551474</v>
      </c>
      <c r="F10" s="12">
        <f>'Hazard &amp; Exposure'!P89</f>
        <v>2.5531279383202854</v>
      </c>
      <c r="G10" s="159">
        <f>'Hazard &amp; Exposure'!Q89</f>
        <v>2.3390455161319661</v>
      </c>
      <c r="H10" s="12">
        <f>'Hazard &amp; Exposure'!W89</f>
        <v>0</v>
      </c>
      <c r="I10" s="12">
        <f>'Hazard &amp; Exposure'!T89</f>
        <v>0.97788148479162729</v>
      </c>
      <c r="J10" s="12">
        <f>'Hazard &amp; Exposure'!AA89</f>
        <v>0.48894074239581364</v>
      </c>
      <c r="K10" s="12">
        <f t="shared" si="0"/>
        <v>1.4582164553400034</v>
      </c>
      <c r="L10" s="12">
        <f>Vulnerability!J89</f>
        <v>6.5838373880267724</v>
      </c>
      <c r="M10" s="12">
        <f>Vulnerability!O89</f>
        <v>4.7360221414486325</v>
      </c>
      <c r="N10" s="12">
        <f t="shared" si="1"/>
        <v>5.9678989725007261</v>
      </c>
      <c r="O10" s="12">
        <f>Vulnerability!AA89</f>
        <v>2.1554108449568226</v>
      </c>
      <c r="P10" s="12">
        <f>Vulnerability!AG89</f>
        <v>1.1851923696373962E-2</v>
      </c>
      <c r="Q10" s="12">
        <f t="shared" si="2"/>
        <v>1.141074077135479</v>
      </c>
      <c r="R10" s="12">
        <f t="shared" si="3"/>
        <v>3.9502441597190834</v>
      </c>
      <c r="S10" s="12">
        <f>'Lack of Coping Capacity'!F89</f>
        <v>9.7027985002702835</v>
      </c>
      <c r="T10" s="12">
        <f>'Lack of Coping Capacity'!I89</f>
        <v>5.0500521366237079</v>
      </c>
      <c r="U10" s="12">
        <f>'Lack of Coping Capacity'!J89</f>
        <v>7.3764253184469961</v>
      </c>
      <c r="V10" s="12">
        <f>'Lack of Coping Capacity'!M89</f>
        <v>6.2899603006728153</v>
      </c>
      <c r="W10" s="12">
        <f>'Lack of Coping Capacity'!S89</f>
        <v>7.8525167785234897</v>
      </c>
      <c r="X10" s="12" t="str">
        <f>'Lack of Coping Capacity'!U89</f>
        <v>x</v>
      </c>
      <c r="Y10" s="12">
        <f>'Lack of Coping Capacity'!V89</f>
        <v>7.0712385395981521</v>
      </c>
      <c r="Z10" s="12">
        <f>'Lack of Coping Capacity'!AB89</f>
        <v>5.1870628822252192</v>
      </c>
      <c r="AA10" s="12">
        <f>'Lack of Coping Capacity'!AI89</f>
        <v>8.1363926133236628</v>
      </c>
      <c r="AB10" s="12">
        <f>'Lack of Coping Capacity'!AE89</f>
        <v>9.7408000000000001</v>
      </c>
      <c r="AC10" s="12">
        <f>'Lack of Coping Capacity'!AJ89</f>
        <v>7.6880851651829616</v>
      </c>
      <c r="AD10" s="12">
        <f t="shared" si="4"/>
        <v>7.3871027931157096</v>
      </c>
      <c r="AE10" s="12">
        <f t="shared" si="5"/>
        <v>3.491188987023838</v>
      </c>
    </row>
    <row r="11" spans="1:31" x14ac:dyDescent="0.25">
      <c r="A11" s="117" t="s">
        <v>456</v>
      </c>
      <c r="B11" s="115" t="s">
        <v>463</v>
      </c>
      <c r="C11" s="115" t="s">
        <v>577</v>
      </c>
      <c r="D11" s="93" t="s">
        <v>464</v>
      </c>
      <c r="E11" s="12">
        <f>'Hazard &amp; Exposure'!O92</f>
        <v>2.1196077102551474</v>
      </c>
      <c r="F11" s="12">
        <f>'Hazard &amp; Exposure'!P92</f>
        <v>2.5531279383202854</v>
      </c>
      <c r="G11" s="159">
        <f>'Hazard &amp; Exposure'!Q92</f>
        <v>2.3390455161319661</v>
      </c>
      <c r="H11" s="12">
        <f>'Hazard &amp; Exposure'!W92</f>
        <v>0</v>
      </c>
      <c r="I11" s="12">
        <f>'Hazard &amp; Exposure'!T92</f>
        <v>0.97788148479162729</v>
      </c>
      <c r="J11" s="12">
        <f>'Hazard &amp; Exposure'!AA92</f>
        <v>0.48894074239581364</v>
      </c>
      <c r="K11" s="12">
        <f t="shared" si="0"/>
        <v>1.4582164553400034</v>
      </c>
      <c r="L11" s="12">
        <f>Vulnerability!J92</f>
        <v>6.5439888959484573</v>
      </c>
      <c r="M11" s="12">
        <f>Vulnerability!O92</f>
        <v>4.7889345858930747</v>
      </c>
      <c r="N11" s="12">
        <f t="shared" si="1"/>
        <v>5.9589707925966628</v>
      </c>
      <c r="O11" s="12">
        <f>Vulnerability!AA92</f>
        <v>2.5276498585211797</v>
      </c>
      <c r="P11" s="12">
        <f>Vulnerability!AG92</f>
        <v>1.1851923696373962E-2</v>
      </c>
      <c r="Q11" s="12">
        <f t="shared" si="2"/>
        <v>1.3504727524981242</v>
      </c>
      <c r="R11" s="12">
        <f t="shared" si="3"/>
        <v>4.0196952847863958</v>
      </c>
      <c r="S11" s="12">
        <f>'Lack of Coping Capacity'!F92</f>
        <v>9.7027985002702835</v>
      </c>
      <c r="T11" s="12">
        <f>'Lack of Coping Capacity'!I92</f>
        <v>5.0500521366237079</v>
      </c>
      <c r="U11" s="12">
        <f>'Lack of Coping Capacity'!J92</f>
        <v>7.3764253184469961</v>
      </c>
      <c r="V11" s="12">
        <f>'Lack of Coping Capacity'!M92</f>
        <v>6.2899603006728153</v>
      </c>
      <c r="W11" s="12">
        <f>'Lack of Coping Capacity'!S92</f>
        <v>7.8525167785234897</v>
      </c>
      <c r="X11" s="12" t="str">
        <f>'Lack of Coping Capacity'!U92</f>
        <v>x</v>
      </c>
      <c r="Y11" s="12">
        <f>'Lack of Coping Capacity'!V92</f>
        <v>7.0712385395981521</v>
      </c>
      <c r="Z11" s="12">
        <f>'Lack of Coping Capacity'!AB92</f>
        <v>5.1870628822252192</v>
      </c>
      <c r="AA11" s="12">
        <f>'Lack of Coping Capacity'!AI92</f>
        <v>8.1363926133236628</v>
      </c>
      <c r="AB11" s="12">
        <f>'Lack of Coping Capacity'!AE92</f>
        <v>9.7408000000000001</v>
      </c>
      <c r="AC11" s="12">
        <f>'Lack of Coping Capacity'!AJ92</f>
        <v>7.6880851651829616</v>
      </c>
      <c r="AD11" s="12">
        <f t="shared" si="4"/>
        <v>7.3871027931157096</v>
      </c>
      <c r="AE11" s="12">
        <f t="shared" si="5"/>
        <v>3.5115303242511624</v>
      </c>
    </row>
    <row r="12" spans="1:31" x14ac:dyDescent="0.25">
      <c r="A12" s="117" t="s">
        <v>456</v>
      </c>
      <c r="B12" s="115" t="s">
        <v>461</v>
      </c>
      <c r="C12" s="115" t="s">
        <v>577</v>
      </c>
      <c r="D12" s="93" t="s">
        <v>462</v>
      </c>
      <c r="E12" s="12">
        <f>'Hazard &amp; Exposure'!O91</f>
        <v>2.1196077102551474</v>
      </c>
      <c r="F12" s="12">
        <f>'Hazard &amp; Exposure'!P91</f>
        <v>2.5531279383202854</v>
      </c>
      <c r="G12" s="159">
        <f>'Hazard &amp; Exposure'!Q91</f>
        <v>2.3390455161319661</v>
      </c>
      <c r="H12" s="12">
        <f>'Hazard &amp; Exposure'!W91</f>
        <v>4</v>
      </c>
      <c r="I12" s="12">
        <f>'Hazard &amp; Exposure'!T91</f>
        <v>0.97788148479162729</v>
      </c>
      <c r="J12" s="12">
        <f>'Hazard &amp; Exposure'!AA91</f>
        <v>2.4889407423958136</v>
      </c>
      <c r="K12" s="12">
        <f t="shared" si="0"/>
        <v>2.4143160666446661</v>
      </c>
      <c r="L12" s="12">
        <f>Vulnerability!J91</f>
        <v>6.5337972110950391</v>
      </c>
      <c r="M12" s="12">
        <f>Vulnerability!O91</f>
        <v>4.7929794747819665</v>
      </c>
      <c r="N12" s="12">
        <f t="shared" si="1"/>
        <v>5.9535246323240152</v>
      </c>
      <c r="O12" s="12">
        <f>Vulnerability!AA91</f>
        <v>2.2833059970797227</v>
      </c>
      <c r="P12" s="12">
        <f>Vulnerability!AG91</f>
        <v>1.1851923696373962E-2</v>
      </c>
      <c r="Q12" s="12">
        <f t="shared" si="2"/>
        <v>1.2125204530113582</v>
      </c>
      <c r="R12" s="12">
        <f t="shared" si="3"/>
        <v>3.9659842866759032</v>
      </c>
      <c r="S12" s="12">
        <f>'Lack of Coping Capacity'!F91</f>
        <v>9.7027985002702835</v>
      </c>
      <c r="T12" s="12">
        <f>'Lack of Coping Capacity'!I91</f>
        <v>5.0500521366237079</v>
      </c>
      <c r="U12" s="12">
        <f>'Lack of Coping Capacity'!J91</f>
        <v>7.3764253184469961</v>
      </c>
      <c r="V12" s="12">
        <f>'Lack of Coping Capacity'!M91</f>
        <v>6.2899603006728153</v>
      </c>
      <c r="W12" s="12">
        <f>'Lack of Coping Capacity'!S91</f>
        <v>7.8525167785234897</v>
      </c>
      <c r="X12" s="12" t="str">
        <f>'Lack of Coping Capacity'!U91</f>
        <v>x</v>
      </c>
      <c r="Y12" s="12">
        <f>'Lack of Coping Capacity'!V91</f>
        <v>7.0712385395981521</v>
      </c>
      <c r="Z12" s="12">
        <f>'Lack of Coping Capacity'!AB91</f>
        <v>5.1870628822252192</v>
      </c>
      <c r="AA12" s="12">
        <f>'Lack of Coping Capacity'!AI91</f>
        <v>8.1363926133236628</v>
      </c>
      <c r="AB12" s="12">
        <f>'Lack of Coping Capacity'!AE91</f>
        <v>9.7408000000000001</v>
      </c>
      <c r="AC12" s="12">
        <f>'Lack of Coping Capacity'!AJ91</f>
        <v>7.6880851651829616</v>
      </c>
      <c r="AD12" s="12">
        <f t="shared" si="4"/>
        <v>7.3871027931157096</v>
      </c>
      <c r="AE12" s="12">
        <f t="shared" si="5"/>
        <v>4.135611668647007</v>
      </c>
    </row>
    <row r="13" spans="1:31" x14ac:dyDescent="0.25">
      <c r="A13" s="117" t="s">
        <v>571</v>
      </c>
      <c r="B13" s="115" t="s">
        <v>356</v>
      </c>
      <c r="C13" s="115" t="s">
        <v>572</v>
      </c>
      <c r="D13" s="93" t="s">
        <v>357</v>
      </c>
      <c r="E13" s="12">
        <f>'Hazard &amp; Exposure'!O17</f>
        <v>1.7503219558462924</v>
      </c>
      <c r="F13" s="12">
        <f>'Hazard &amp; Exposure'!P17</f>
        <v>3.4888052752557401</v>
      </c>
      <c r="G13" s="159">
        <f>'Hazard &amp; Exposure'!Q17</f>
        <v>2.6641709665151581</v>
      </c>
      <c r="H13" s="12">
        <f>'Hazard &amp; Exposure'!W17</f>
        <v>0</v>
      </c>
      <c r="I13" s="12">
        <f>'Hazard &amp; Exposure'!T17</f>
        <v>4.6565302075659556</v>
      </c>
      <c r="J13" s="12">
        <f>'Hazard &amp; Exposure'!AA17</f>
        <v>2.3282651037829778</v>
      </c>
      <c r="K13" s="12">
        <f t="shared" si="0"/>
        <v>2.4978553664403256</v>
      </c>
      <c r="L13" s="12">
        <f>Vulnerability!J17</f>
        <v>8.4866682785213889</v>
      </c>
      <c r="M13" s="12">
        <f>Vulnerability!O17</f>
        <v>3.9735536081959295</v>
      </c>
      <c r="N13" s="12">
        <f t="shared" si="1"/>
        <v>6.9822967217462351</v>
      </c>
      <c r="O13" s="12">
        <f>Vulnerability!AA17</f>
        <v>2.9029195450155241</v>
      </c>
      <c r="P13" s="12">
        <f>Vulnerability!AG17</f>
        <v>4.6987489637934257</v>
      </c>
      <c r="Q13" s="12">
        <f t="shared" si="2"/>
        <v>3.8561888581601105</v>
      </c>
      <c r="R13" s="12">
        <f t="shared" si="3"/>
        <v>5.638065579443432</v>
      </c>
      <c r="S13" s="12">
        <f>'Lack of Coping Capacity'!F17</f>
        <v>3.5744359771757672</v>
      </c>
      <c r="T13" s="12">
        <f>'Lack of Coping Capacity'!I17</f>
        <v>7.5748013257980347</v>
      </c>
      <c r="U13" s="12">
        <f>'Lack of Coping Capacity'!J17</f>
        <v>5.5746186514869009</v>
      </c>
      <c r="V13" s="12">
        <f>'Lack of Coping Capacity'!M17</f>
        <v>8.6218705968158353</v>
      </c>
      <c r="W13" s="12">
        <f>'Lack of Coping Capacity'!S17</f>
        <v>6.2292692020879938</v>
      </c>
      <c r="X13" s="12" t="str">
        <f>'Lack of Coping Capacity'!U17</f>
        <v>x</v>
      </c>
      <c r="Y13" s="12">
        <f>'Lack of Coping Capacity'!V17</f>
        <v>7.425569899451915</v>
      </c>
      <c r="Z13" s="12">
        <f>'Lack of Coping Capacity'!AB17</f>
        <v>6.2135497816379814</v>
      </c>
      <c r="AA13" s="12">
        <f>'Lack of Coping Capacity'!AI17</f>
        <v>7.2295031010203177</v>
      </c>
      <c r="AB13" s="12">
        <f>'Lack of Coping Capacity'!AE17</f>
        <v>9.9846000000000004</v>
      </c>
      <c r="AC13" s="12">
        <f>'Lack of Coping Capacity'!AJ17</f>
        <v>7.8092176275527656</v>
      </c>
      <c r="AD13" s="12">
        <f t="shared" si="4"/>
        <v>7.0419987594943043</v>
      </c>
      <c r="AE13" s="12">
        <f t="shared" si="5"/>
        <v>4.6287577445701968</v>
      </c>
    </row>
    <row r="14" spans="1:31" x14ac:dyDescent="0.25">
      <c r="A14" s="117" t="s">
        <v>571</v>
      </c>
      <c r="B14" s="115" t="s">
        <v>336</v>
      </c>
      <c r="C14" s="115" t="s">
        <v>572</v>
      </c>
      <c r="D14" s="93" t="s">
        <v>337</v>
      </c>
      <c r="E14" s="12">
        <f>'Hazard &amp; Exposure'!O7</f>
        <v>1.7503219558462924</v>
      </c>
      <c r="F14" s="12">
        <f>'Hazard &amp; Exposure'!P7</f>
        <v>3.4888052752557401</v>
      </c>
      <c r="G14" s="159">
        <f>'Hazard &amp; Exposure'!Q7</f>
        <v>2.6641709665151581</v>
      </c>
      <c r="H14" s="12">
        <f>'Hazard &amp; Exposure'!W7</f>
        <v>0</v>
      </c>
      <c r="I14" s="12">
        <f>'Hazard &amp; Exposure'!T7</f>
        <v>4.6565302075659556</v>
      </c>
      <c r="J14" s="12">
        <f>'Hazard &amp; Exposure'!AA7</f>
        <v>2.3282651037829778</v>
      </c>
      <c r="K14" s="12">
        <f t="shared" si="0"/>
        <v>2.4978553664403256</v>
      </c>
      <c r="L14" s="12">
        <f>Vulnerability!J7</f>
        <v>8.2750882662039995</v>
      </c>
      <c r="M14" s="12">
        <f>Vulnerability!O7</f>
        <v>3.9211451637514849</v>
      </c>
      <c r="N14" s="12">
        <f t="shared" si="1"/>
        <v>6.8237738987198284</v>
      </c>
      <c r="O14" s="12">
        <f>Vulnerability!AA7</f>
        <v>2.9029195450155241</v>
      </c>
      <c r="P14" s="12">
        <f>Vulnerability!AG7</f>
        <v>4.6987489637934257</v>
      </c>
      <c r="Q14" s="12">
        <f t="shared" si="2"/>
        <v>3.8561888581601105</v>
      </c>
      <c r="R14" s="12">
        <f t="shared" si="3"/>
        <v>5.5339883629476425</v>
      </c>
      <c r="S14" s="12">
        <f>'Lack of Coping Capacity'!F7</f>
        <v>3.5744359771757672</v>
      </c>
      <c r="T14" s="12">
        <f>'Lack of Coping Capacity'!I7</f>
        <v>7.5748013257980347</v>
      </c>
      <c r="U14" s="12">
        <f>'Lack of Coping Capacity'!J7</f>
        <v>5.5746186514869009</v>
      </c>
      <c r="V14" s="12">
        <f>'Lack of Coping Capacity'!M7</f>
        <v>8.6218705968158353</v>
      </c>
      <c r="W14" s="12">
        <f>'Lack of Coping Capacity'!S7</f>
        <v>6.2292692020879938</v>
      </c>
      <c r="X14" s="12" t="str">
        <f>'Lack of Coping Capacity'!U7</f>
        <v>x</v>
      </c>
      <c r="Y14" s="12">
        <f>'Lack of Coping Capacity'!V7</f>
        <v>7.425569899451915</v>
      </c>
      <c r="Z14" s="12">
        <f>'Lack of Coping Capacity'!AB7</f>
        <v>6.2135497816379814</v>
      </c>
      <c r="AA14" s="12">
        <f>'Lack of Coping Capacity'!AI7</f>
        <v>7.2295031010203177</v>
      </c>
      <c r="AB14" s="12">
        <f>'Lack of Coping Capacity'!AE7</f>
        <v>9.9846000000000004</v>
      </c>
      <c r="AC14" s="12">
        <f>'Lack of Coping Capacity'!AJ7</f>
        <v>7.8092176275527656</v>
      </c>
      <c r="AD14" s="12">
        <f t="shared" si="4"/>
        <v>7.0419987594943043</v>
      </c>
      <c r="AE14" s="12">
        <f t="shared" si="5"/>
        <v>4.6000987828515871</v>
      </c>
    </row>
    <row r="15" spans="1:31" x14ac:dyDescent="0.25">
      <c r="A15" s="117" t="s">
        <v>571</v>
      </c>
      <c r="B15" s="115" t="s">
        <v>350</v>
      </c>
      <c r="C15" s="115" t="s">
        <v>572</v>
      </c>
      <c r="D15" s="93" t="s">
        <v>351</v>
      </c>
      <c r="E15" s="12">
        <f>'Hazard &amp; Exposure'!O14</f>
        <v>1.7503219558462924</v>
      </c>
      <c r="F15" s="12">
        <f>'Hazard &amp; Exposure'!P14</f>
        <v>3.4888052752557401</v>
      </c>
      <c r="G15" s="159">
        <f>'Hazard &amp; Exposure'!Q14</f>
        <v>2.6641709665151581</v>
      </c>
      <c r="H15" s="12">
        <f>'Hazard &amp; Exposure'!W14</f>
        <v>0</v>
      </c>
      <c r="I15" s="12">
        <f>'Hazard &amp; Exposure'!T14</f>
        <v>4.6565302075659556</v>
      </c>
      <c r="J15" s="12">
        <f>'Hazard &amp; Exposure'!AA14</f>
        <v>2.3282651037829778</v>
      </c>
      <c r="K15" s="12">
        <f t="shared" si="0"/>
        <v>2.4978553664403256</v>
      </c>
      <c r="L15" s="12">
        <f>Vulnerability!J14</f>
        <v>8.2750882662039995</v>
      </c>
      <c r="M15" s="12">
        <f>Vulnerability!O14</f>
        <v>3.9211451637514849</v>
      </c>
      <c r="N15" s="12">
        <f t="shared" si="1"/>
        <v>6.8237738987198284</v>
      </c>
      <c r="O15" s="12">
        <f>Vulnerability!AA14</f>
        <v>2.9029195450155241</v>
      </c>
      <c r="P15" s="12">
        <f>Vulnerability!AG14</f>
        <v>4.6987489637934257</v>
      </c>
      <c r="Q15" s="12">
        <f t="shared" si="2"/>
        <v>3.8561888581601105</v>
      </c>
      <c r="R15" s="12">
        <f t="shared" si="3"/>
        <v>5.5339883629476425</v>
      </c>
      <c r="S15" s="12">
        <f>'Lack of Coping Capacity'!F14</f>
        <v>3.5744359771757672</v>
      </c>
      <c r="T15" s="12">
        <f>'Lack of Coping Capacity'!I14</f>
        <v>7.5748013257980347</v>
      </c>
      <c r="U15" s="12">
        <f>'Lack of Coping Capacity'!J14</f>
        <v>5.5746186514869009</v>
      </c>
      <c r="V15" s="12">
        <f>'Lack of Coping Capacity'!M14</f>
        <v>8.6218705968158353</v>
      </c>
      <c r="W15" s="12">
        <f>'Lack of Coping Capacity'!S14</f>
        <v>6.2292692020879938</v>
      </c>
      <c r="X15" s="12" t="str">
        <f>'Lack of Coping Capacity'!U14</f>
        <v>x</v>
      </c>
      <c r="Y15" s="12">
        <f>'Lack of Coping Capacity'!V14</f>
        <v>7.425569899451915</v>
      </c>
      <c r="Z15" s="12">
        <f>'Lack of Coping Capacity'!AB14</f>
        <v>6.2135497816379814</v>
      </c>
      <c r="AA15" s="12">
        <f>'Lack of Coping Capacity'!AI14</f>
        <v>7.2295031010203177</v>
      </c>
      <c r="AB15" s="12">
        <f>'Lack of Coping Capacity'!AE14</f>
        <v>9.9846000000000004</v>
      </c>
      <c r="AC15" s="12">
        <f>'Lack of Coping Capacity'!AJ14</f>
        <v>7.8092176275527656</v>
      </c>
      <c r="AD15" s="12">
        <f t="shared" si="4"/>
        <v>7.0419987594943043</v>
      </c>
      <c r="AE15" s="12">
        <f t="shared" si="5"/>
        <v>4.6000987828515871</v>
      </c>
    </row>
    <row r="16" spans="1:31" x14ac:dyDescent="0.25">
      <c r="A16" s="117" t="s">
        <v>571</v>
      </c>
      <c r="B16" s="115" t="s">
        <v>348</v>
      </c>
      <c r="C16" s="115" t="s">
        <v>572</v>
      </c>
      <c r="D16" s="93" t="s">
        <v>349</v>
      </c>
      <c r="E16" s="12">
        <f>'Hazard &amp; Exposure'!O13</f>
        <v>1.7503219558462924</v>
      </c>
      <c r="F16" s="12">
        <f>'Hazard &amp; Exposure'!P13</f>
        <v>3.4888052752557401</v>
      </c>
      <c r="G16" s="159">
        <f>'Hazard &amp; Exposure'!Q13</f>
        <v>2.6641709665151581</v>
      </c>
      <c r="H16" s="12">
        <f>'Hazard &amp; Exposure'!W13</f>
        <v>0</v>
      </c>
      <c r="I16" s="12">
        <f>'Hazard &amp; Exposure'!T13</f>
        <v>4.6565302075659556</v>
      </c>
      <c r="J16" s="12">
        <f>'Hazard &amp; Exposure'!AA13</f>
        <v>2.3282651037829778</v>
      </c>
      <c r="K16" s="12">
        <f t="shared" si="0"/>
        <v>2.4978553664403256</v>
      </c>
      <c r="L16" s="12">
        <f>Vulnerability!J13</f>
        <v>7.9262297189491928</v>
      </c>
      <c r="M16" s="12">
        <f>Vulnerability!O13</f>
        <v>3.8908340526403742</v>
      </c>
      <c r="N16" s="12">
        <f t="shared" si="1"/>
        <v>6.581097830179587</v>
      </c>
      <c r="O16" s="12">
        <f>Vulnerability!AA13</f>
        <v>2.9029195450155241</v>
      </c>
      <c r="P16" s="12">
        <f>Vulnerability!AG13</f>
        <v>4.6987489637934257</v>
      </c>
      <c r="Q16" s="12">
        <f t="shared" si="2"/>
        <v>3.8561888581601105</v>
      </c>
      <c r="R16" s="12">
        <f t="shared" si="3"/>
        <v>5.3783199795597714</v>
      </c>
      <c r="S16" s="12">
        <f>'Lack of Coping Capacity'!F13</f>
        <v>3.5744359771757672</v>
      </c>
      <c r="T16" s="12">
        <f>'Lack of Coping Capacity'!I13</f>
        <v>7.5748013257980347</v>
      </c>
      <c r="U16" s="12">
        <f>'Lack of Coping Capacity'!J13</f>
        <v>5.5746186514869009</v>
      </c>
      <c r="V16" s="12">
        <f>'Lack of Coping Capacity'!M13</f>
        <v>8.6218705968158353</v>
      </c>
      <c r="W16" s="12">
        <f>'Lack of Coping Capacity'!S13</f>
        <v>6.2292692020879938</v>
      </c>
      <c r="X16" s="12" t="str">
        <f>'Lack of Coping Capacity'!U13</f>
        <v>x</v>
      </c>
      <c r="Y16" s="12">
        <f>'Lack of Coping Capacity'!V13</f>
        <v>7.425569899451915</v>
      </c>
      <c r="Z16" s="12">
        <f>'Lack of Coping Capacity'!AB13</f>
        <v>6.2135497816379814</v>
      </c>
      <c r="AA16" s="12">
        <f>'Lack of Coping Capacity'!AI13</f>
        <v>7.2295031010203177</v>
      </c>
      <c r="AB16" s="12">
        <f>'Lack of Coping Capacity'!AE13</f>
        <v>9.9846000000000004</v>
      </c>
      <c r="AC16" s="12">
        <f>'Lack of Coping Capacity'!AJ13</f>
        <v>7.8092176275527656</v>
      </c>
      <c r="AD16" s="12">
        <f t="shared" si="4"/>
        <v>7.0419987594943043</v>
      </c>
      <c r="AE16" s="12">
        <f t="shared" si="5"/>
        <v>4.5565550640336729</v>
      </c>
    </row>
    <row r="17" spans="1:31" x14ac:dyDescent="0.25">
      <c r="A17" s="117" t="s">
        <v>571</v>
      </c>
      <c r="B17" s="115" t="s">
        <v>354</v>
      </c>
      <c r="C17" s="115" t="s">
        <v>572</v>
      </c>
      <c r="D17" s="93" t="s">
        <v>355</v>
      </c>
      <c r="E17" s="12">
        <f>'Hazard &amp; Exposure'!O16</f>
        <v>1.7503219558462924</v>
      </c>
      <c r="F17" s="12">
        <f>'Hazard &amp; Exposure'!P16</f>
        <v>3.4888052752557401</v>
      </c>
      <c r="G17" s="159">
        <f>'Hazard &amp; Exposure'!Q16</f>
        <v>2.6641709665151581</v>
      </c>
      <c r="H17" s="12">
        <f>'Hazard &amp; Exposure'!W16</f>
        <v>0</v>
      </c>
      <c r="I17" s="12">
        <f>'Hazard &amp; Exposure'!T16</f>
        <v>4.6565302075659556</v>
      </c>
      <c r="J17" s="12">
        <f>'Hazard &amp; Exposure'!AA16</f>
        <v>2.3282651037829778</v>
      </c>
      <c r="K17" s="12">
        <f t="shared" si="0"/>
        <v>2.4978553664403256</v>
      </c>
      <c r="L17" s="12">
        <f>Vulnerability!J16</f>
        <v>7.9262297189491928</v>
      </c>
      <c r="M17" s="12">
        <f>Vulnerability!O16</f>
        <v>3.8908340526403742</v>
      </c>
      <c r="N17" s="12">
        <f t="shared" si="1"/>
        <v>6.581097830179587</v>
      </c>
      <c r="O17" s="12">
        <f>Vulnerability!AA16</f>
        <v>2.9029195450155241</v>
      </c>
      <c r="P17" s="12">
        <f>Vulnerability!AG16</f>
        <v>4.6987489637934257</v>
      </c>
      <c r="Q17" s="12">
        <f t="shared" si="2"/>
        <v>3.8561888581601105</v>
      </c>
      <c r="R17" s="12">
        <f t="shared" si="3"/>
        <v>5.3783199795597714</v>
      </c>
      <c r="S17" s="12">
        <f>'Lack of Coping Capacity'!F16</f>
        <v>3.5744359771757672</v>
      </c>
      <c r="T17" s="12">
        <f>'Lack of Coping Capacity'!I16</f>
        <v>7.5748013257980347</v>
      </c>
      <c r="U17" s="12">
        <f>'Lack of Coping Capacity'!J16</f>
        <v>5.5746186514869009</v>
      </c>
      <c r="V17" s="12">
        <f>'Lack of Coping Capacity'!M16</f>
        <v>8.6218705968158353</v>
      </c>
      <c r="W17" s="12">
        <f>'Lack of Coping Capacity'!S16</f>
        <v>6.2292692020879938</v>
      </c>
      <c r="X17" s="12" t="str">
        <f>'Lack of Coping Capacity'!U16</f>
        <v>x</v>
      </c>
      <c r="Y17" s="12">
        <f>'Lack of Coping Capacity'!V16</f>
        <v>7.425569899451915</v>
      </c>
      <c r="Z17" s="12">
        <f>'Lack of Coping Capacity'!AB16</f>
        <v>6.2135497816379814</v>
      </c>
      <c r="AA17" s="12">
        <f>'Lack of Coping Capacity'!AI16</f>
        <v>7.2295031010203177</v>
      </c>
      <c r="AB17" s="12">
        <f>'Lack of Coping Capacity'!AE16</f>
        <v>9.9846000000000004</v>
      </c>
      <c r="AC17" s="12">
        <f>'Lack of Coping Capacity'!AJ16</f>
        <v>7.8092176275527656</v>
      </c>
      <c r="AD17" s="12">
        <f t="shared" si="4"/>
        <v>7.0419987594943043</v>
      </c>
      <c r="AE17" s="12">
        <f t="shared" si="5"/>
        <v>4.5565550640336729</v>
      </c>
    </row>
    <row r="18" spans="1:31" x14ac:dyDescent="0.25">
      <c r="A18" s="117" t="s">
        <v>571</v>
      </c>
      <c r="B18" s="115" t="s">
        <v>358</v>
      </c>
      <c r="C18" s="115" t="s">
        <v>572</v>
      </c>
      <c r="D18" s="93" t="s">
        <v>359</v>
      </c>
      <c r="E18" s="12">
        <f>'Hazard &amp; Exposure'!O18</f>
        <v>1.7503219558462924</v>
      </c>
      <c r="F18" s="12">
        <f>'Hazard &amp; Exposure'!P18</f>
        <v>3.4888052752557401</v>
      </c>
      <c r="G18" s="159">
        <f>'Hazard &amp; Exposure'!Q18</f>
        <v>2.6641709665151581</v>
      </c>
      <c r="H18" s="12">
        <f>'Hazard &amp; Exposure'!W18</f>
        <v>0</v>
      </c>
      <c r="I18" s="12">
        <f>'Hazard &amp; Exposure'!T18</f>
        <v>4.6565302075659556</v>
      </c>
      <c r="J18" s="12">
        <f>'Hazard &amp; Exposure'!AA18</f>
        <v>2.3282651037829778</v>
      </c>
      <c r="K18" s="12">
        <f t="shared" si="0"/>
        <v>2.4978553664403256</v>
      </c>
      <c r="L18" s="12">
        <f>Vulnerability!J18</f>
        <v>7.9262297189491928</v>
      </c>
      <c r="M18" s="12">
        <f>Vulnerability!O18</f>
        <v>3.8908340526403742</v>
      </c>
      <c r="N18" s="12">
        <f t="shared" si="1"/>
        <v>6.581097830179587</v>
      </c>
      <c r="O18" s="12">
        <f>Vulnerability!AA18</f>
        <v>2.9029195450155241</v>
      </c>
      <c r="P18" s="12">
        <f>Vulnerability!AG18</f>
        <v>4.6987489637934257</v>
      </c>
      <c r="Q18" s="12">
        <f t="shared" si="2"/>
        <v>3.8561888581601105</v>
      </c>
      <c r="R18" s="12">
        <f t="shared" si="3"/>
        <v>5.3783199795597714</v>
      </c>
      <c r="S18" s="12">
        <f>'Lack of Coping Capacity'!F18</f>
        <v>3.5744359771757672</v>
      </c>
      <c r="T18" s="12">
        <f>'Lack of Coping Capacity'!I18</f>
        <v>7.5748013257980347</v>
      </c>
      <c r="U18" s="12">
        <f>'Lack of Coping Capacity'!J18</f>
        <v>5.5746186514869009</v>
      </c>
      <c r="V18" s="12">
        <f>'Lack of Coping Capacity'!M18</f>
        <v>8.6218705968158353</v>
      </c>
      <c r="W18" s="12">
        <f>'Lack of Coping Capacity'!S18</f>
        <v>6.2292692020879938</v>
      </c>
      <c r="X18" s="12" t="str">
        <f>'Lack of Coping Capacity'!U18</f>
        <v>x</v>
      </c>
      <c r="Y18" s="12">
        <f>'Lack of Coping Capacity'!V18</f>
        <v>7.425569899451915</v>
      </c>
      <c r="Z18" s="12">
        <f>'Lack of Coping Capacity'!AB18</f>
        <v>6.2135497816379814</v>
      </c>
      <c r="AA18" s="12">
        <f>'Lack of Coping Capacity'!AI18</f>
        <v>7.2295031010203177</v>
      </c>
      <c r="AB18" s="12">
        <f>'Lack of Coping Capacity'!AE18</f>
        <v>9.9846000000000004</v>
      </c>
      <c r="AC18" s="12">
        <f>'Lack of Coping Capacity'!AJ18</f>
        <v>7.8092176275527656</v>
      </c>
      <c r="AD18" s="12">
        <f t="shared" si="4"/>
        <v>7.0419987594943043</v>
      </c>
      <c r="AE18" s="12">
        <f t="shared" si="5"/>
        <v>4.5565550640336729</v>
      </c>
    </row>
    <row r="19" spans="1:31" x14ac:dyDescent="0.25">
      <c r="A19" s="117" t="s">
        <v>372</v>
      </c>
      <c r="B19" s="115" t="s">
        <v>383</v>
      </c>
      <c r="C19" s="115" t="s">
        <v>574</v>
      </c>
      <c r="D19" s="93" t="s">
        <v>384</v>
      </c>
      <c r="E19" s="12">
        <f>'Hazard &amp; Exposure'!O30</f>
        <v>1.6076884251533308</v>
      </c>
      <c r="F19" s="12">
        <f>'Hazard &amp; Exposure'!P30</f>
        <v>1.8318965987484661</v>
      </c>
      <c r="G19" s="159">
        <f>'Hazard &amp; Exposure'!Q30</f>
        <v>1.7204616285323995</v>
      </c>
      <c r="H19" s="12">
        <f>'Hazard &amp; Exposure'!W30</f>
        <v>5</v>
      </c>
      <c r="I19" s="12">
        <f>'Hazard &amp; Exposure'!T30</f>
        <v>1.5843993531593625</v>
      </c>
      <c r="J19" s="12">
        <f>'Hazard &amp; Exposure'!AA30</f>
        <v>3.2921996765796813</v>
      </c>
      <c r="K19" s="12">
        <f t="shared" si="0"/>
        <v>2.5422922533564818</v>
      </c>
      <c r="L19" s="12">
        <f>Vulnerability!J30</f>
        <v>7.804022832959391</v>
      </c>
      <c r="M19" s="12" t="str">
        <f>Vulnerability!O30</f>
        <v>x</v>
      </c>
      <c r="N19" s="12">
        <f t="shared" si="1"/>
        <v>7.804022832959391</v>
      </c>
      <c r="O19" s="12">
        <f>Vulnerability!AA30</f>
        <v>1.7258979215304573</v>
      </c>
      <c r="P19" s="12">
        <f>Vulnerability!AG30</f>
        <v>0</v>
      </c>
      <c r="Q19" s="12">
        <f t="shared" si="2"/>
        <v>0.89934600654196317</v>
      </c>
      <c r="R19" s="12">
        <f t="shared" si="3"/>
        <v>5.2998110262282623</v>
      </c>
      <c r="S19" s="12">
        <f>'Lack of Coping Capacity'!F30</f>
        <v>9.5578808915331823</v>
      </c>
      <c r="T19" s="12">
        <f>'Lack of Coping Capacity'!I30</f>
        <v>8.1433948040008541</v>
      </c>
      <c r="U19" s="12">
        <f>'Lack of Coping Capacity'!J30</f>
        <v>8.8506378477670182</v>
      </c>
      <c r="V19" s="12">
        <f>'Lack of Coping Capacity'!M30</f>
        <v>9.6298512269200014</v>
      </c>
      <c r="W19" s="12">
        <f>'Lack of Coping Capacity'!S30</f>
        <v>5.9995525750559278</v>
      </c>
      <c r="X19" s="12" t="str">
        <f>'Lack of Coping Capacity'!U30</f>
        <v>x</v>
      </c>
      <c r="Y19" s="12">
        <f>'Lack of Coping Capacity'!V30</f>
        <v>7.8147019009879646</v>
      </c>
      <c r="Z19" s="12">
        <f>'Lack of Coping Capacity'!AB30</f>
        <v>5.3025027406487668</v>
      </c>
      <c r="AA19" s="12">
        <f>'Lack of Coping Capacity'!AI30</f>
        <v>8.444126969850851</v>
      </c>
      <c r="AB19" s="12">
        <f>'Lack of Coping Capacity'!AE30</f>
        <v>9.8580000000000005</v>
      </c>
      <c r="AC19" s="12">
        <f>'Lack of Coping Capacity'!AJ30</f>
        <v>7.8682099034998716</v>
      </c>
      <c r="AD19" s="12">
        <f t="shared" si="4"/>
        <v>8.2200446825829019</v>
      </c>
      <c r="AE19" s="12">
        <f t="shared" si="5"/>
        <v>4.8023448792108363</v>
      </c>
    </row>
    <row r="20" spans="1:31" x14ac:dyDescent="0.25">
      <c r="A20" s="117" t="s">
        <v>456</v>
      </c>
      <c r="B20" s="115" t="s">
        <v>459</v>
      </c>
      <c r="C20" s="115" t="s">
        <v>577</v>
      </c>
      <c r="D20" s="93" t="s">
        <v>460</v>
      </c>
      <c r="E20" s="12">
        <f>'Hazard &amp; Exposure'!O90</f>
        <v>2.1196077102551474</v>
      </c>
      <c r="F20" s="12">
        <f>'Hazard &amp; Exposure'!P90</f>
        <v>2.5531279383202854</v>
      </c>
      <c r="G20" s="159">
        <f>'Hazard &amp; Exposure'!Q90</f>
        <v>2.3390455161319661</v>
      </c>
      <c r="H20" s="12">
        <f>'Hazard &amp; Exposure'!W90</f>
        <v>5</v>
      </c>
      <c r="I20" s="12">
        <f>'Hazard &amp; Exposure'!T90</f>
        <v>0.97788148479162729</v>
      </c>
      <c r="J20" s="12">
        <f>'Hazard &amp; Exposure'!AA90</f>
        <v>2.9889407423958136</v>
      </c>
      <c r="K20" s="12">
        <f t="shared" si="0"/>
        <v>2.6702455602350317</v>
      </c>
      <c r="L20" s="12">
        <f>Vulnerability!J90</f>
        <v>6.4073479850204418</v>
      </c>
      <c r="M20" s="12">
        <f>Vulnerability!O90</f>
        <v>4.6639372525597445</v>
      </c>
      <c r="N20" s="12">
        <f t="shared" si="1"/>
        <v>5.8262110742002093</v>
      </c>
      <c r="O20" s="12">
        <f>Vulnerability!AA90</f>
        <v>2.2393185368471631</v>
      </c>
      <c r="P20" s="12">
        <f>Vulnerability!AG90</f>
        <v>1.1851923696373962E-2</v>
      </c>
      <c r="Q20" s="12">
        <f t="shared" si="2"/>
        <v>1.1878895959610563</v>
      </c>
      <c r="R20" s="12">
        <f t="shared" si="3"/>
        <v>3.8693410407697737</v>
      </c>
      <c r="S20" s="12">
        <f>'Lack of Coping Capacity'!F90</f>
        <v>9.7027985002702835</v>
      </c>
      <c r="T20" s="12">
        <f>'Lack of Coping Capacity'!I90</f>
        <v>5.0500521366237079</v>
      </c>
      <c r="U20" s="12">
        <f>'Lack of Coping Capacity'!J90</f>
        <v>7.3764253184469961</v>
      </c>
      <c r="V20" s="12">
        <f>'Lack of Coping Capacity'!M90</f>
        <v>6.2899603006728153</v>
      </c>
      <c r="W20" s="12">
        <f>'Lack of Coping Capacity'!S90</f>
        <v>7.8525167785234897</v>
      </c>
      <c r="X20" s="12" t="str">
        <f>'Lack of Coping Capacity'!U90</f>
        <v>x</v>
      </c>
      <c r="Y20" s="12">
        <f>'Lack of Coping Capacity'!V90</f>
        <v>7.0712385395981521</v>
      </c>
      <c r="Z20" s="12">
        <f>'Lack of Coping Capacity'!AB90</f>
        <v>5.1870628822252192</v>
      </c>
      <c r="AA20" s="12">
        <f>'Lack of Coping Capacity'!AI90</f>
        <v>8.1363926133236628</v>
      </c>
      <c r="AB20" s="12">
        <f>'Lack of Coping Capacity'!AE90</f>
        <v>9.7408000000000001</v>
      </c>
      <c r="AC20" s="12">
        <f>'Lack of Coping Capacity'!AJ90</f>
        <v>7.6880851651829616</v>
      </c>
      <c r="AD20" s="12">
        <f t="shared" si="4"/>
        <v>7.3871027931157096</v>
      </c>
      <c r="AE20" s="12">
        <f t="shared" si="5"/>
        <v>4.2418383865255356</v>
      </c>
    </row>
    <row r="21" spans="1:31" x14ac:dyDescent="0.25">
      <c r="A21" s="117" t="s">
        <v>362</v>
      </c>
      <c r="B21" s="115" t="s">
        <v>368</v>
      </c>
      <c r="C21" s="115" t="s">
        <v>573</v>
      </c>
      <c r="D21" s="93" t="s">
        <v>369</v>
      </c>
      <c r="E21" s="12">
        <f>'Hazard &amp; Exposure'!O23</f>
        <v>0</v>
      </c>
      <c r="F21" s="12">
        <f>'Hazard &amp; Exposure'!P23</f>
        <v>5.9994995200998416</v>
      </c>
      <c r="G21" s="159">
        <f>'Hazard &amp; Exposure'!Q23</f>
        <v>3.5748199579927773</v>
      </c>
      <c r="H21" s="12">
        <f>'Hazard &amp; Exposure'!W23</f>
        <v>0</v>
      </c>
      <c r="I21" s="12">
        <f>'Hazard &amp; Exposure'!T23</f>
        <v>0.59937129227970432</v>
      </c>
      <c r="J21" s="12">
        <f>'Hazard &amp; Exposure'!AA23</f>
        <v>0.29968564613985216</v>
      </c>
      <c r="K21" s="12">
        <f t="shared" si="0"/>
        <v>2.084591843737825</v>
      </c>
      <c r="L21" s="12">
        <f>Vulnerability!J23</f>
        <v>5.8371369607172197</v>
      </c>
      <c r="M21" s="12">
        <f>Vulnerability!O23</f>
        <v>3.4963800000000003</v>
      </c>
      <c r="N21" s="12">
        <f t="shared" si="1"/>
        <v>5.0568846404781462</v>
      </c>
      <c r="O21" s="12">
        <f>Vulnerability!AA23</f>
        <v>0</v>
      </c>
      <c r="P21" s="12">
        <f>Vulnerability!AG23</f>
        <v>7.5974692664795773</v>
      </c>
      <c r="Q21" s="12">
        <f t="shared" si="2"/>
        <v>4.8628741645516751</v>
      </c>
      <c r="R21" s="12">
        <f t="shared" si="3"/>
        <v>4.9606443388533314</v>
      </c>
      <c r="S21" s="12">
        <f>'Lack of Coping Capacity'!F23</f>
        <v>0</v>
      </c>
      <c r="T21" s="12">
        <f>'Lack of Coping Capacity'!I23</f>
        <v>6.9845608949661262</v>
      </c>
      <c r="U21" s="12">
        <f>'Lack of Coping Capacity'!J23</f>
        <v>3.4922804474830631</v>
      </c>
      <c r="V21" s="12">
        <f>'Lack of Coping Capacity'!M23</f>
        <v>7.6517066621455054</v>
      </c>
      <c r="W21" s="12">
        <f>'Lack of Coping Capacity'!S23</f>
        <v>6.3457680825130502</v>
      </c>
      <c r="X21" s="12" t="str">
        <f>'Lack of Coping Capacity'!U23</f>
        <v>x</v>
      </c>
      <c r="Y21" s="12">
        <f>'Lack of Coping Capacity'!V23</f>
        <v>6.9987373723292778</v>
      </c>
      <c r="Z21" s="12">
        <f>'Lack of Coping Capacity'!AB23</f>
        <v>7.8046679854427206</v>
      </c>
      <c r="AA21" s="12">
        <f>'Lack of Coping Capacity'!AI23</f>
        <v>5.4606352685884971</v>
      </c>
      <c r="AB21" s="12">
        <f>'Lack of Coping Capacity'!AE23</f>
        <v>9.4471999999999987</v>
      </c>
      <c r="AC21" s="12">
        <f>'Lack of Coping Capacity'!AJ23</f>
        <v>7.5708344180104055</v>
      </c>
      <c r="AD21" s="12">
        <f t="shared" si="4"/>
        <v>6.3063400251034896</v>
      </c>
      <c r="AE21" s="12">
        <f t="shared" si="5"/>
        <v>4.0251200339418176</v>
      </c>
    </row>
    <row r="22" spans="1:31" x14ac:dyDescent="0.25">
      <c r="A22" s="117" t="s">
        <v>372</v>
      </c>
      <c r="B22" s="115" t="s">
        <v>375</v>
      </c>
      <c r="C22" s="115" t="s">
        <v>574</v>
      </c>
      <c r="D22" s="93" t="s">
        <v>376</v>
      </c>
      <c r="E22" s="12">
        <f>'Hazard &amp; Exposure'!O26</f>
        <v>1.7270875960553274</v>
      </c>
      <c r="F22" s="12">
        <f>'Hazard &amp; Exposure'!P26</f>
        <v>1.3973971598385779</v>
      </c>
      <c r="G22" s="159">
        <f>'Hazard &amp; Exposure'!Q26</f>
        <v>1.5636653722096896</v>
      </c>
      <c r="H22" s="12">
        <f>'Hazard &amp; Exposure'!W26</f>
        <v>6</v>
      </c>
      <c r="I22" s="12">
        <f>'Hazard &amp; Exposure'!T26</f>
        <v>1.5843993531593625</v>
      </c>
      <c r="J22" s="12">
        <f>'Hazard &amp; Exposure'!AA26</f>
        <v>3.7921996765796813</v>
      </c>
      <c r="K22" s="12">
        <f t="shared" si="0"/>
        <v>2.7518701294780308</v>
      </c>
      <c r="L22" s="12">
        <f>Vulnerability!J26</f>
        <v>7.804022832959391</v>
      </c>
      <c r="M22" s="12" t="str">
        <f>Vulnerability!O26</f>
        <v>x</v>
      </c>
      <c r="N22" s="12">
        <f t="shared" si="1"/>
        <v>7.804022832959391</v>
      </c>
      <c r="O22" s="12">
        <f>Vulnerability!AA26</f>
        <v>1.7258979215304573</v>
      </c>
      <c r="P22" s="12">
        <f>Vulnerability!AG26</f>
        <v>0</v>
      </c>
      <c r="Q22" s="12">
        <f t="shared" si="2"/>
        <v>0.89934600654196317</v>
      </c>
      <c r="R22" s="12">
        <f t="shared" si="3"/>
        <v>5.2998110262282623</v>
      </c>
      <c r="S22" s="12">
        <f>'Lack of Coping Capacity'!F26</f>
        <v>9.5578808915331823</v>
      </c>
      <c r="T22" s="12">
        <f>'Lack of Coping Capacity'!I26</f>
        <v>8.1433948040008541</v>
      </c>
      <c r="U22" s="12">
        <f>'Lack of Coping Capacity'!J26</f>
        <v>8.8506378477670182</v>
      </c>
      <c r="V22" s="12">
        <f>'Lack of Coping Capacity'!M26</f>
        <v>9.6298512269200014</v>
      </c>
      <c r="W22" s="12">
        <f>'Lack of Coping Capacity'!S26</f>
        <v>5.9995525750559278</v>
      </c>
      <c r="X22" s="12" t="str">
        <f>'Lack of Coping Capacity'!U26</f>
        <v>x</v>
      </c>
      <c r="Y22" s="12">
        <f>'Lack of Coping Capacity'!V26</f>
        <v>7.8147019009879646</v>
      </c>
      <c r="Z22" s="12">
        <f>'Lack of Coping Capacity'!AB26</f>
        <v>5.3025027406487668</v>
      </c>
      <c r="AA22" s="12">
        <f>'Lack of Coping Capacity'!AI26</f>
        <v>8.444126969850851</v>
      </c>
      <c r="AB22" s="12">
        <f>'Lack of Coping Capacity'!AE26</f>
        <v>9.8580000000000005</v>
      </c>
      <c r="AC22" s="12">
        <f>'Lack of Coping Capacity'!AJ26</f>
        <v>7.8682099034998716</v>
      </c>
      <c r="AD22" s="12">
        <f t="shared" si="4"/>
        <v>8.2200446825829019</v>
      </c>
      <c r="AE22" s="12">
        <f t="shared" si="5"/>
        <v>4.9308391127940521</v>
      </c>
    </row>
    <row r="23" spans="1:31" x14ac:dyDescent="0.25">
      <c r="A23" s="117" t="s">
        <v>362</v>
      </c>
      <c r="B23" s="115" t="s">
        <v>370</v>
      </c>
      <c r="C23" s="115" t="s">
        <v>573</v>
      </c>
      <c r="D23" s="93" t="s">
        <v>371</v>
      </c>
      <c r="E23" s="12">
        <f>'Hazard &amp; Exposure'!O24</f>
        <v>1.0357168199860349</v>
      </c>
      <c r="F23" s="12">
        <f>'Hazard &amp; Exposure'!P24</f>
        <v>6.3398504507727482</v>
      </c>
      <c r="G23" s="159">
        <f>'Hazard &amp; Exposure'!Q24</f>
        <v>4.1776897032748037</v>
      </c>
      <c r="H23" s="12">
        <f>'Hazard &amp; Exposure'!W24</f>
        <v>3</v>
      </c>
      <c r="I23" s="12">
        <f>'Hazard &amp; Exposure'!T24</f>
        <v>0.59937129227970432</v>
      </c>
      <c r="J23" s="12">
        <f>'Hazard &amp; Exposure'!AA24</f>
        <v>1.799685646139852</v>
      </c>
      <c r="K23" s="12">
        <f t="shared" si="0"/>
        <v>3.0761850594100832</v>
      </c>
      <c r="L23" s="12">
        <f>Vulnerability!J24</f>
        <v>5.8371369607172197</v>
      </c>
      <c r="M23" s="12">
        <f>Vulnerability!O24</f>
        <v>3.4963800000000003</v>
      </c>
      <c r="N23" s="12">
        <f t="shared" si="1"/>
        <v>5.0568846404781462</v>
      </c>
      <c r="O23" s="12">
        <f>Vulnerability!AA24</f>
        <v>0</v>
      </c>
      <c r="P23" s="12">
        <f>Vulnerability!AG24</f>
        <v>0</v>
      </c>
      <c r="Q23" s="12">
        <f t="shared" si="2"/>
        <v>0</v>
      </c>
      <c r="R23" s="12">
        <f t="shared" si="3"/>
        <v>2.9093318524969813</v>
      </c>
      <c r="S23" s="12">
        <f>'Lack of Coping Capacity'!F24</f>
        <v>0</v>
      </c>
      <c r="T23" s="12">
        <f>'Lack of Coping Capacity'!I24</f>
        <v>6.9845608949661262</v>
      </c>
      <c r="U23" s="12">
        <f>'Lack of Coping Capacity'!J24</f>
        <v>3.4922804474830631</v>
      </c>
      <c r="V23" s="12">
        <f>'Lack of Coping Capacity'!M24</f>
        <v>7.6517066621455054</v>
      </c>
      <c r="W23" s="12">
        <f>'Lack of Coping Capacity'!S24</f>
        <v>6.3457680825130502</v>
      </c>
      <c r="X23" s="12" t="str">
        <f>'Lack of Coping Capacity'!U24</f>
        <v>x</v>
      </c>
      <c r="Y23" s="12">
        <f>'Lack of Coping Capacity'!V24</f>
        <v>6.9987373723292778</v>
      </c>
      <c r="Z23" s="12">
        <f>'Lack of Coping Capacity'!AB24</f>
        <v>7.8046679854427206</v>
      </c>
      <c r="AA23" s="12">
        <f>'Lack of Coping Capacity'!AI24</f>
        <v>5.4606352685884971</v>
      </c>
      <c r="AB23" s="12">
        <f>'Lack of Coping Capacity'!AE24</f>
        <v>9.4471999999999987</v>
      </c>
      <c r="AC23" s="12">
        <f>'Lack of Coping Capacity'!AJ24</f>
        <v>7.5708344180104055</v>
      </c>
      <c r="AD23" s="12">
        <f t="shared" si="4"/>
        <v>6.3063400251034896</v>
      </c>
      <c r="AE23" s="12">
        <f t="shared" si="5"/>
        <v>3.8358448657699258</v>
      </c>
    </row>
    <row r="24" spans="1:31" x14ac:dyDescent="0.25">
      <c r="A24" s="117" t="s">
        <v>571</v>
      </c>
      <c r="B24" s="115" t="s">
        <v>344</v>
      </c>
      <c r="C24" s="115" t="s">
        <v>572</v>
      </c>
      <c r="D24" s="93" t="s">
        <v>345</v>
      </c>
      <c r="E24" s="12">
        <f>'Hazard &amp; Exposure'!O11</f>
        <v>1.7503219558462924</v>
      </c>
      <c r="F24" s="12">
        <f>'Hazard &amp; Exposure'!P11</f>
        <v>3.4888052752557401</v>
      </c>
      <c r="G24" s="159">
        <f>'Hazard &amp; Exposure'!Q11</f>
        <v>2.6641709665151581</v>
      </c>
      <c r="H24" s="12">
        <f>'Hazard &amp; Exposure'!W11</f>
        <v>4</v>
      </c>
      <c r="I24" s="12">
        <f>'Hazard &amp; Exposure'!T11</f>
        <v>4.6565302075659556</v>
      </c>
      <c r="J24" s="12">
        <f>'Hazard &amp; Exposure'!AA11</f>
        <v>4.3282651037829778</v>
      </c>
      <c r="K24" s="12">
        <f t="shared" si="0"/>
        <v>3.5418116564777842</v>
      </c>
      <c r="L24" s="12">
        <f>Vulnerability!J11</f>
        <v>8.4866682785213889</v>
      </c>
      <c r="M24" s="12">
        <f>Vulnerability!O11</f>
        <v>3.9735536081959295</v>
      </c>
      <c r="N24" s="12">
        <f t="shared" si="1"/>
        <v>6.9822967217462351</v>
      </c>
      <c r="O24" s="12">
        <f>Vulnerability!AA11</f>
        <v>2.9029195450155241</v>
      </c>
      <c r="P24" s="12">
        <f>Vulnerability!AG11</f>
        <v>4.6987489637934257</v>
      </c>
      <c r="Q24" s="12">
        <f t="shared" si="2"/>
        <v>3.8561888581601105</v>
      </c>
      <c r="R24" s="12">
        <f t="shared" si="3"/>
        <v>5.638065579443432</v>
      </c>
      <c r="S24" s="12">
        <f>'Lack of Coping Capacity'!F11</f>
        <v>3.5744359771757672</v>
      </c>
      <c r="T24" s="12">
        <f>'Lack of Coping Capacity'!I11</f>
        <v>7.5748013257980347</v>
      </c>
      <c r="U24" s="12">
        <f>'Lack of Coping Capacity'!J11</f>
        <v>5.5746186514869009</v>
      </c>
      <c r="V24" s="12">
        <f>'Lack of Coping Capacity'!M11</f>
        <v>8.6218705968158353</v>
      </c>
      <c r="W24" s="12">
        <f>'Lack of Coping Capacity'!S11</f>
        <v>6.2292692020879938</v>
      </c>
      <c r="X24" s="12" t="str">
        <f>'Lack of Coping Capacity'!U11</f>
        <v>x</v>
      </c>
      <c r="Y24" s="12">
        <f>'Lack of Coping Capacity'!V11</f>
        <v>7.425569899451915</v>
      </c>
      <c r="Z24" s="12">
        <f>'Lack of Coping Capacity'!AB11</f>
        <v>6.2135497816379814</v>
      </c>
      <c r="AA24" s="12">
        <f>'Lack of Coping Capacity'!AI11</f>
        <v>7.2295031010203177</v>
      </c>
      <c r="AB24" s="12">
        <f>'Lack of Coping Capacity'!AE11</f>
        <v>9.9846000000000004</v>
      </c>
      <c r="AC24" s="12">
        <f>'Lack of Coping Capacity'!AJ11</f>
        <v>7.8092176275527656</v>
      </c>
      <c r="AD24" s="12">
        <f t="shared" si="4"/>
        <v>7.0419987594943043</v>
      </c>
      <c r="AE24" s="12">
        <f t="shared" si="5"/>
        <v>5.200165632563702</v>
      </c>
    </row>
    <row r="25" spans="1:31" x14ac:dyDescent="0.25">
      <c r="A25" s="117" t="s">
        <v>571</v>
      </c>
      <c r="B25" s="115" t="s">
        <v>346</v>
      </c>
      <c r="C25" s="115" t="s">
        <v>572</v>
      </c>
      <c r="D25" s="93" t="s">
        <v>347</v>
      </c>
      <c r="E25" s="12">
        <f>'Hazard &amp; Exposure'!O12</f>
        <v>1.7503219558462924</v>
      </c>
      <c r="F25" s="12">
        <f>'Hazard &amp; Exposure'!P12</f>
        <v>3.4888052752557401</v>
      </c>
      <c r="G25" s="159">
        <f>'Hazard &amp; Exposure'!Q12</f>
        <v>2.6641709665151581</v>
      </c>
      <c r="H25" s="12">
        <f>'Hazard &amp; Exposure'!W12</f>
        <v>4</v>
      </c>
      <c r="I25" s="12">
        <f>'Hazard &amp; Exposure'!T12</f>
        <v>4.6565302075659556</v>
      </c>
      <c r="J25" s="12">
        <f>'Hazard &amp; Exposure'!AA12</f>
        <v>4.3282651037829778</v>
      </c>
      <c r="K25" s="12">
        <f t="shared" si="0"/>
        <v>3.5418116564777842</v>
      </c>
      <c r="L25" s="12">
        <f>Vulnerability!J12</f>
        <v>8.4866682785213889</v>
      </c>
      <c r="M25" s="12">
        <f>Vulnerability!O12</f>
        <v>3.9735536081959295</v>
      </c>
      <c r="N25" s="12">
        <f t="shared" si="1"/>
        <v>6.9822967217462351</v>
      </c>
      <c r="O25" s="12">
        <f>Vulnerability!AA12</f>
        <v>2.9029195450155241</v>
      </c>
      <c r="P25" s="12">
        <f>Vulnerability!AG12</f>
        <v>4.6987489637934257</v>
      </c>
      <c r="Q25" s="12">
        <f t="shared" si="2"/>
        <v>3.8561888581601105</v>
      </c>
      <c r="R25" s="12">
        <f t="shared" si="3"/>
        <v>5.638065579443432</v>
      </c>
      <c r="S25" s="12">
        <f>'Lack of Coping Capacity'!F12</f>
        <v>3.5744359771757672</v>
      </c>
      <c r="T25" s="12">
        <f>'Lack of Coping Capacity'!I12</f>
        <v>7.5748013257980347</v>
      </c>
      <c r="U25" s="12">
        <f>'Lack of Coping Capacity'!J12</f>
        <v>5.5746186514869009</v>
      </c>
      <c r="V25" s="12">
        <f>'Lack of Coping Capacity'!M12</f>
        <v>8.6218705968158353</v>
      </c>
      <c r="W25" s="12">
        <f>'Lack of Coping Capacity'!S12</f>
        <v>6.2292692020879938</v>
      </c>
      <c r="X25" s="12" t="str">
        <f>'Lack of Coping Capacity'!U12</f>
        <v>x</v>
      </c>
      <c r="Y25" s="12">
        <f>'Lack of Coping Capacity'!V12</f>
        <v>7.425569899451915</v>
      </c>
      <c r="Z25" s="12">
        <f>'Lack of Coping Capacity'!AB12</f>
        <v>6.2135497816379814</v>
      </c>
      <c r="AA25" s="12">
        <f>'Lack of Coping Capacity'!AI12</f>
        <v>7.2295031010203177</v>
      </c>
      <c r="AB25" s="12">
        <f>'Lack of Coping Capacity'!AE12</f>
        <v>9.9846000000000004</v>
      </c>
      <c r="AC25" s="12">
        <f>'Lack of Coping Capacity'!AJ12</f>
        <v>7.8092176275527656</v>
      </c>
      <c r="AD25" s="12">
        <f t="shared" si="4"/>
        <v>7.0419987594943043</v>
      </c>
      <c r="AE25" s="12">
        <f t="shared" si="5"/>
        <v>5.200165632563702</v>
      </c>
    </row>
    <row r="26" spans="1:31" x14ac:dyDescent="0.25">
      <c r="A26" s="117" t="s">
        <v>571</v>
      </c>
      <c r="B26" s="115" t="s">
        <v>352</v>
      </c>
      <c r="C26" s="115" t="s">
        <v>572</v>
      </c>
      <c r="D26" s="93" t="s">
        <v>353</v>
      </c>
      <c r="E26" s="12">
        <f>'Hazard &amp; Exposure'!O15</f>
        <v>1.7503219558462924</v>
      </c>
      <c r="F26" s="12">
        <f>'Hazard &amp; Exposure'!P15</f>
        <v>3.4888052752557401</v>
      </c>
      <c r="G26" s="159">
        <f>'Hazard &amp; Exposure'!Q15</f>
        <v>2.6641709665151581</v>
      </c>
      <c r="H26" s="12">
        <f>'Hazard &amp; Exposure'!W15</f>
        <v>0</v>
      </c>
      <c r="I26" s="12">
        <f>'Hazard &amp; Exposure'!T15</f>
        <v>4.6565302075659556</v>
      </c>
      <c r="J26" s="12">
        <f>'Hazard &amp; Exposure'!AA15</f>
        <v>2.3282651037829778</v>
      </c>
      <c r="K26" s="12">
        <f t="shared" si="0"/>
        <v>2.4978553664403256</v>
      </c>
      <c r="L26" s="12">
        <f>Vulnerability!J15</f>
        <v>8.4866682785213889</v>
      </c>
      <c r="M26" s="12">
        <f>Vulnerability!O15</f>
        <v>3.9735536081959295</v>
      </c>
      <c r="N26" s="12">
        <f t="shared" si="1"/>
        <v>6.9822967217462351</v>
      </c>
      <c r="O26" s="12">
        <f>Vulnerability!AA15</f>
        <v>2.9029195450155241</v>
      </c>
      <c r="P26" s="12">
        <f>Vulnerability!AG15</f>
        <v>4.6987489637934257</v>
      </c>
      <c r="Q26" s="12">
        <f t="shared" si="2"/>
        <v>3.8561888581601105</v>
      </c>
      <c r="R26" s="12">
        <f t="shared" si="3"/>
        <v>5.638065579443432</v>
      </c>
      <c r="S26" s="12">
        <f>'Lack of Coping Capacity'!F15</f>
        <v>3.5744359771757672</v>
      </c>
      <c r="T26" s="12">
        <f>'Lack of Coping Capacity'!I15</f>
        <v>7.5748013257980347</v>
      </c>
      <c r="U26" s="12">
        <f>'Lack of Coping Capacity'!J15</f>
        <v>5.5746186514869009</v>
      </c>
      <c r="V26" s="12">
        <f>'Lack of Coping Capacity'!M15</f>
        <v>8.6218705968158353</v>
      </c>
      <c r="W26" s="12">
        <f>'Lack of Coping Capacity'!S15</f>
        <v>6.2292692020879938</v>
      </c>
      <c r="X26" s="12" t="str">
        <f>'Lack of Coping Capacity'!U15</f>
        <v>x</v>
      </c>
      <c r="Y26" s="12">
        <f>'Lack of Coping Capacity'!V15</f>
        <v>7.425569899451915</v>
      </c>
      <c r="Z26" s="12">
        <f>'Lack of Coping Capacity'!AB15</f>
        <v>6.2135497816379814</v>
      </c>
      <c r="AA26" s="12">
        <f>'Lack of Coping Capacity'!AI15</f>
        <v>7.2295031010203177</v>
      </c>
      <c r="AB26" s="12">
        <f>'Lack of Coping Capacity'!AE15</f>
        <v>9.9846000000000004</v>
      </c>
      <c r="AC26" s="12">
        <f>'Lack of Coping Capacity'!AJ15</f>
        <v>7.8092176275527656</v>
      </c>
      <c r="AD26" s="12">
        <f t="shared" si="4"/>
        <v>7.0419987594943043</v>
      </c>
      <c r="AE26" s="12">
        <f t="shared" si="5"/>
        <v>4.6287577445701968</v>
      </c>
    </row>
    <row r="27" spans="1:31" x14ac:dyDescent="0.25">
      <c r="A27" s="117" t="s">
        <v>571</v>
      </c>
      <c r="B27" s="115" t="s">
        <v>340</v>
      </c>
      <c r="C27" s="115" t="s">
        <v>572</v>
      </c>
      <c r="D27" s="93" t="s">
        <v>341</v>
      </c>
      <c r="E27" s="12">
        <f>'Hazard &amp; Exposure'!O9</f>
        <v>1.7503219558462924</v>
      </c>
      <c r="F27" s="12">
        <f>'Hazard &amp; Exposure'!P9</f>
        <v>3.4888052752557401</v>
      </c>
      <c r="G27" s="159">
        <f>'Hazard &amp; Exposure'!Q9</f>
        <v>2.6641709665151581</v>
      </c>
      <c r="H27" s="12">
        <f>'Hazard &amp; Exposure'!W9</f>
        <v>0</v>
      </c>
      <c r="I27" s="12">
        <f>'Hazard &amp; Exposure'!T9</f>
        <v>4.6565302075659556</v>
      </c>
      <c r="J27" s="12">
        <f>'Hazard &amp; Exposure'!AA9</f>
        <v>2.3282651037829778</v>
      </c>
      <c r="K27" s="12">
        <f t="shared" si="0"/>
        <v>2.4978553664403256</v>
      </c>
      <c r="L27" s="12">
        <f>Vulnerability!J9</f>
        <v>8.2750882662039995</v>
      </c>
      <c r="M27" s="12">
        <f>Vulnerability!O9</f>
        <v>3.9211451637514849</v>
      </c>
      <c r="N27" s="12">
        <f t="shared" si="1"/>
        <v>6.8237738987198284</v>
      </c>
      <c r="O27" s="12">
        <f>Vulnerability!AA9</f>
        <v>2.9029195450155241</v>
      </c>
      <c r="P27" s="12">
        <f>Vulnerability!AG9</f>
        <v>4.6987489637934257</v>
      </c>
      <c r="Q27" s="12">
        <f t="shared" si="2"/>
        <v>3.8561888581601105</v>
      </c>
      <c r="R27" s="12">
        <f t="shared" si="3"/>
        <v>5.5339883629476425</v>
      </c>
      <c r="S27" s="12">
        <f>'Lack of Coping Capacity'!F9</f>
        <v>3.5744359771757672</v>
      </c>
      <c r="T27" s="12">
        <f>'Lack of Coping Capacity'!I9</f>
        <v>7.5748013257980347</v>
      </c>
      <c r="U27" s="12">
        <f>'Lack of Coping Capacity'!J9</f>
        <v>5.5746186514869009</v>
      </c>
      <c r="V27" s="12">
        <f>'Lack of Coping Capacity'!M9</f>
        <v>8.6218705968158353</v>
      </c>
      <c r="W27" s="12">
        <f>'Lack of Coping Capacity'!S9</f>
        <v>6.2292692020879938</v>
      </c>
      <c r="X27" s="12" t="str">
        <f>'Lack of Coping Capacity'!U9</f>
        <v>x</v>
      </c>
      <c r="Y27" s="12">
        <f>'Lack of Coping Capacity'!V9</f>
        <v>7.425569899451915</v>
      </c>
      <c r="Z27" s="12">
        <f>'Lack of Coping Capacity'!AB9</f>
        <v>6.2135497816379814</v>
      </c>
      <c r="AA27" s="12">
        <f>'Lack of Coping Capacity'!AI9</f>
        <v>7.2295031010203177</v>
      </c>
      <c r="AB27" s="12">
        <f>'Lack of Coping Capacity'!AE9</f>
        <v>9.9846000000000004</v>
      </c>
      <c r="AC27" s="12">
        <f>'Lack of Coping Capacity'!AJ9</f>
        <v>7.8092176275527656</v>
      </c>
      <c r="AD27" s="12">
        <f t="shared" si="4"/>
        <v>7.0419987594943043</v>
      </c>
      <c r="AE27" s="12">
        <f t="shared" si="5"/>
        <v>4.6000987828515871</v>
      </c>
    </row>
    <row r="28" spans="1:31" x14ac:dyDescent="0.25">
      <c r="A28" s="117" t="s">
        <v>571</v>
      </c>
      <c r="B28" s="115" t="s">
        <v>342</v>
      </c>
      <c r="C28" s="115" t="s">
        <v>572</v>
      </c>
      <c r="D28" s="93" t="s">
        <v>343</v>
      </c>
      <c r="E28" s="12">
        <f>'Hazard &amp; Exposure'!O10</f>
        <v>1.7503219558462924</v>
      </c>
      <c r="F28" s="12">
        <f>'Hazard &amp; Exposure'!P10</f>
        <v>3.4888052752557401</v>
      </c>
      <c r="G28" s="159">
        <f>'Hazard &amp; Exposure'!Q10</f>
        <v>2.6641709665151581</v>
      </c>
      <c r="H28" s="12">
        <f>'Hazard &amp; Exposure'!W10</f>
        <v>0</v>
      </c>
      <c r="I28" s="12">
        <f>'Hazard &amp; Exposure'!T10</f>
        <v>4.6565302075659556</v>
      </c>
      <c r="J28" s="12">
        <f>'Hazard &amp; Exposure'!AA10</f>
        <v>2.3282651037829778</v>
      </c>
      <c r="K28" s="12">
        <f t="shared" si="0"/>
        <v>2.4978553664403256</v>
      </c>
      <c r="L28" s="12">
        <f>Vulnerability!J10</f>
        <v>8.2750882662039995</v>
      </c>
      <c r="M28" s="12">
        <f>Vulnerability!O10</f>
        <v>3.9211451637514849</v>
      </c>
      <c r="N28" s="12">
        <f t="shared" si="1"/>
        <v>6.8237738987198284</v>
      </c>
      <c r="O28" s="12">
        <f>Vulnerability!AA10</f>
        <v>2.9029195450155241</v>
      </c>
      <c r="P28" s="12">
        <f>Vulnerability!AG10</f>
        <v>4.6987489637934257</v>
      </c>
      <c r="Q28" s="12">
        <f t="shared" si="2"/>
        <v>3.8561888581601105</v>
      </c>
      <c r="R28" s="12">
        <f t="shared" si="3"/>
        <v>5.5339883629476425</v>
      </c>
      <c r="S28" s="12">
        <f>'Lack of Coping Capacity'!F10</f>
        <v>3.5744359771757672</v>
      </c>
      <c r="T28" s="12">
        <f>'Lack of Coping Capacity'!I10</f>
        <v>7.5748013257980347</v>
      </c>
      <c r="U28" s="12">
        <f>'Lack of Coping Capacity'!J10</f>
        <v>5.5746186514869009</v>
      </c>
      <c r="V28" s="12">
        <f>'Lack of Coping Capacity'!M10</f>
        <v>8.6218705968158353</v>
      </c>
      <c r="W28" s="12">
        <f>'Lack of Coping Capacity'!S10</f>
        <v>6.2292692020879938</v>
      </c>
      <c r="X28" s="12" t="str">
        <f>'Lack of Coping Capacity'!U10</f>
        <v>x</v>
      </c>
      <c r="Y28" s="12">
        <f>'Lack of Coping Capacity'!V10</f>
        <v>7.425569899451915</v>
      </c>
      <c r="Z28" s="12">
        <f>'Lack of Coping Capacity'!AB10</f>
        <v>6.2135497816379814</v>
      </c>
      <c r="AA28" s="12">
        <f>'Lack of Coping Capacity'!AI10</f>
        <v>7.2295031010203177</v>
      </c>
      <c r="AB28" s="12">
        <f>'Lack of Coping Capacity'!AE10</f>
        <v>9.9846000000000004</v>
      </c>
      <c r="AC28" s="12">
        <f>'Lack of Coping Capacity'!AJ10</f>
        <v>7.8092176275527656</v>
      </c>
      <c r="AD28" s="12">
        <f t="shared" si="4"/>
        <v>7.0419987594943043</v>
      </c>
      <c r="AE28" s="12">
        <f t="shared" si="5"/>
        <v>4.6000987828515871</v>
      </c>
    </row>
    <row r="29" spans="1:31" x14ac:dyDescent="0.25">
      <c r="A29" s="117" t="s">
        <v>571</v>
      </c>
      <c r="B29" s="115" t="s">
        <v>360</v>
      </c>
      <c r="C29" s="115" t="s">
        <v>572</v>
      </c>
      <c r="D29" s="93" t="s">
        <v>361</v>
      </c>
      <c r="E29" s="12">
        <f>'Hazard &amp; Exposure'!O19</f>
        <v>1.7503219558462924</v>
      </c>
      <c r="F29" s="12">
        <f>'Hazard &amp; Exposure'!P19</f>
        <v>3.4888052752557401</v>
      </c>
      <c r="G29" s="159">
        <f>'Hazard &amp; Exposure'!Q19</f>
        <v>2.6641709665151581</v>
      </c>
      <c r="H29" s="12">
        <f>'Hazard &amp; Exposure'!W19</f>
        <v>0</v>
      </c>
      <c r="I29" s="12">
        <f>'Hazard &amp; Exposure'!T19</f>
        <v>4.6565302075659556</v>
      </c>
      <c r="J29" s="12">
        <f>'Hazard &amp; Exposure'!AA19</f>
        <v>2.3282651037829778</v>
      </c>
      <c r="K29" s="12">
        <f t="shared" si="0"/>
        <v>2.4978553664403256</v>
      </c>
      <c r="L29" s="12">
        <f>Vulnerability!J19</f>
        <v>8.2750882662039995</v>
      </c>
      <c r="M29" s="12">
        <f>Vulnerability!O19</f>
        <v>3.9211451637514849</v>
      </c>
      <c r="N29" s="12">
        <f t="shared" si="1"/>
        <v>6.8237738987198284</v>
      </c>
      <c r="O29" s="12">
        <f>Vulnerability!AA19</f>
        <v>2.9029195450155241</v>
      </c>
      <c r="P29" s="12">
        <f>Vulnerability!AG19</f>
        <v>4.6987489637934257</v>
      </c>
      <c r="Q29" s="12">
        <f t="shared" si="2"/>
        <v>3.8561888581601105</v>
      </c>
      <c r="R29" s="12">
        <f t="shared" si="3"/>
        <v>5.5339883629476425</v>
      </c>
      <c r="S29" s="12">
        <f>'Lack of Coping Capacity'!F19</f>
        <v>3.5744359771757672</v>
      </c>
      <c r="T29" s="12">
        <f>'Lack of Coping Capacity'!I19</f>
        <v>7.5748013257980347</v>
      </c>
      <c r="U29" s="12">
        <f>'Lack of Coping Capacity'!J19</f>
        <v>5.5746186514869009</v>
      </c>
      <c r="V29" s="12">
        <f>'Lack of Coping Capacity'!M19</f>
        <v>8.6218705968158353</v>
      </c>
      <c r="W29" s="12">
        <f>'Lack of Coping Capacity'!S19</f>
        <v>6.2292692020879938</v>
      </c>
      <c r="X29" s="12" t="str">
        <f>'Lack of Coping Capacity'!U19</f>
        <v>x</v>
      </c>
      <c r="Y29" s="12">
        <f>'Lack of Coping Capacity'!V19</f>
        <v>7.425569899451915</v>
      </c>
      <c r="Z29" s="12">
        <f>'Lack of Coping Capacity'!AB19</f>
        <v>6.2135497816379814</v>
      </c>
      <c r="AA29" s="12">
        <f>'Lack of Coping Capacity'!AI19</f>
        <v>7.2295031010203177</v>
      </c>
      <c r="AB29" s="12">
        <f>'Lack of Coping Capacity'!AE19</f>
        <v>9.9846000000000004</v>
      </c>
      <c r="AC29" s="12">
        <f>'Lack of Coping Capacity'!AJ19</f>
        <v>7.8092176275527656</v>
      </c>
      <c r="AD29" s="12">
        <f t="shared" si="4"/>
        <v>7.0419987594943043</v>
      </c>
      <c r="AE29" s="12">
        <f t="shared" si="5"/>
        <v>4.6000987828515871</v>
      </c>
    </row>
    <row r="30" spans="1:31" x14ac:dyDescent="0.25">
      <c r="A30" s="117" t="s">
        <v>571</v>
      </c>
      <c r="B30" s="115" t="s">
        <v>334</v>
      </c>
      <c r="C30" s="115" t="s">
        <v>572</v>
      </c>
      <c r="D30" s="93" t="s">
        <v>335</v>
      </c>
      <c r="E30" s="12">
        <f>'Hazard &amp; Exposure'!O6</f>
        <v>1.7503219558462924</v>
      </c>
      <c r="F30" s="12">
        <f>'Hazard &amp; Exposure'!P6</f>
        <v>3.4888052752557401</v>
      </c>
      <c r="G30" s="159">
        <f>'Hazard &amp; Exposure'!Q6</f>
        <v>2.6641709665151581</v>
      </c>
      <c r="H30" s="12">
        <f>'Hazard &amp; Exposure'!W6</f>
        <v>0</v>
      </c>
      <c r="I30" s="12">
        <f>'Hazard &amp; Exposure'!T6</f>
        <v>4.6565302075659556</v>
      </c>
      <c r="J30" s="12">
        <f>'Hazard &amp; Exposure'!AA6</f>
        <v>2.3282651037829778</v>
      </c>
      <c r="K30" s="12">
        <f t="shared" si="0"/>
        <v>2.4978553664403256</v>
      </c>
      <c r="L30" s="12">
        <f>Vulnerability!J6</f>
        <v>7.9262297189491928</v>
      </c>
      <c r="M30" s="12">
        <f>Vulnerability!O6</f>
        <v>3.8908340526403742</v>
      </c>
      <c r="N30" s="12">
        <f t="shared" si="1"/>
        <v>6.581097830179587</v>
      </c>
      <c r="O30" s="12">
        <f>Vulnerability!AA6</f>
        <v>2.9029195450155241</v>
      </c>
      <c r="P30" s="12">
        <f>Vulnerability!AG6</f>
        <v>4.6987489637934257</v>
      </c>
      <c r="Q30" s="12">
        <f t="shared" si="2"/>
        <v>3.8561888581601105</v>
      </c>
      <c r="R30" s="12">
        <f t="shared" si="3"/>
        <v>5.3783199795597714</v>
      </c>
      <c r="S30" s="12">
        <f>'Lack of Coping Capacity'!F6</f>
        <v>3.5744359771757672</v>
      </c>
      <c r="T30" s="12">
        <f>'Lack of Coping Capacity'!I6</f>
        <v>7.5748013257980347</v>
      </c>
      <c r="U30" s="12">
        <f>'Lack of Coping Capacity'!J6</f>
        <v>5.5746186514869009</v>
      </c>
      <c r="V30" s="12">
        <f>'Lack of Coping Capacity'!M6</f>
        <v>8.6218705968158353</v>
      </c>
      <c r="W30" s="12">
        <f>'Lack of Coping Capacity'!S6</f>
        <v>6.2292692020879938</v>
      </c>
      <c r="X30" s="12" t="str">
        <f>'Lack of Coping Capacity'!U6</f>
        <v>x</v>
      </c>
      <c r="Y30" s="12">
        <f>'Lack of Coping Capacity'!V6</f>
        <v>7.425569899451915</v>
      </c>
      <c r="Z30" s="12">
        <f>'Lack of Coping Capacity'!AB6</f>
        <v>6.2135497816379814</v>
      </c>
      <c r="AA30" s="12">
        <f>'Lack of Coping Capacity'!AI6</f>
        <v>7.2295031010203177</v>
      </c>
      <c r="AB30" s="12">
        <f>'Lack of Coping Capacity'!AE6</f>
        <v>9.9846000000000004</v>
      </c>
      <c r="AC30" s="12">
        <f>'Lack of Coping Capacity'!AJ6</f>
        <v>7.8092176275527656</v>
      </c>
      <c r="AD30" s="12">
        <f t="shared" si="4"/>
        <v>7.0419987594943043</v>
      </c>
      <c r="AE30" s="12">
        <f t="shared" si="5"/>
        <v>4.5565550640336729</v>
      </c>
    </row>
    <row r="31" spans="1:31" x14ac:dyDescent="0.25">
      <c r="A31" s="117" t="s">
        <v>571</v>
      </c>
      <c r="B31" s="115" t="s">
        <v>328</v>
      </c>
      <c r="C31" s="115" t="s">
        <v>572</v>
      </c>
      <c r="D31" s="93" t="s">
        <v>329</v>
      </c>
      <c r="E31" s="12">
        <f>'Hazard &amp; Exposure'!O3</f>
        <v>1.7503219558462924</v>
      </c>
      <c r="F31" s="12">
        <f>'Hazard &amp; Exposure'!P3</f>
        <v>3.4888052752557401</v>
      </c>
      <c r="G31" s="159">
        <f>'Hazard &amp; Exposure'!Q3</f>
        <v>2.6641709665151581</v>
      </c>
      <c r="H31" s="12">
        <f>'Hazard &amp; Exposure'!W3</f>
        <v>5</v>
      </c>
      <c r="I31" s="12">
        <f>'Hazard &amp; Exposure'!T3</f>
        <v>4.6565302075659556</v>
      </c>
      <c r="J31" s="12">
        <f>'Hazard &amp; Exposure'!AA3</f>
        <v>4.8282651037829778</v>
      </c>
      <c r="K31" s="12">
        <f t="shared" si="0"/>
        <v>3.8261386223768943</v>
      </c>
      <c r="L31" s="12">
        <f>Vulnerability!J3</f>
        <v>8.4718895576032551</v>
      </c>
      <c r="M31" s="12">
        <f>Vulnerability!O3</f>
        <v>3.9762687193070412</v>
      </c>
      <c r="N31" s="12">
        <f t="shared" si="1"/>
        <v>6.9733492781711837</v>
      </c>
      <c r="O31" s="12">
        <f>Vulnerability!AA3</f>
        <v>2.9029195450155241</v>
      </c>
      <c r="P31" s="12">
        <f>Vulnerability!AG3</f>
        <v>4.6987489637934257</v>
      </c>
      <c r="Q31" s="12">
        <f t="shared" si="2"/>
        <v>3.8561888581601105</v>
      </c>
      <c r="R31" s="12">
        <f t="shared" si="3"/>
        <v>5.6321385432652749</v>
      </c>
      <c r="S31" s="12">
        <f>'Lack of Coping Capacity'!F3</f>
        <v>3.5744359771757672</v>
      </c>
      <c r="T31" s="12">
        <f>'Lack of Coping Capacity'!I3</f>
        <v>7.5748013257980347</v>
      </c>
      <c r="U31" s="12">
        <f>'Lack of Coping Capacity'!J3</f>
        <v>5.5746186514869009</v>
      </c>
      <c r="V31" s="12">
        <f>'Lack of Coping Capacity'!M3</f>
        <v>8.6218705968158353</v>
      </c>
      <c r="W31" s="12">
        <f>'Lack of Coping Capacity'!S3</f>
        <v>6.2292692020879938</v>
      </c>
      <c r="X31" s="12" t="str">
        <f>'Lack of Coping Capacity'!U3</f>
        <v>x</v>
      </c>
      <c r="Y31" s="12">
        <f>'Lack of Coping Capacity'!V3</f>
        <v>7.425569899451915</v>
      </c>
      <c r="Z31" s="12">
        <f>'Lack of Coping Capacity'!AB3</f>
        <v>6.2135497816379814</v>
      </c>
      <c r="AA31" s="12">
        <f>'Lack of Coping Capacity'!AI3</f>
        <v>7.2295031010203177</v>
      </c>
      <c r="AB31" s="12">
        <f>'Lack of Coping Capacity'!AE3</f>
        <v>9.9846000000000004</v>
      </c>
      <c r="AC31" s="12">
        <f>'Lack of Coping Capacity'!AJ3</f>
        <v>7.8092176275527656</v>
      </c>
      <c r="AD31" s="12">
        <f t="shared" si="4"/>
        <v>7.0419987594943043</v>
      </c>
      <c r="AE31" s="12">
        <f t="shared" si="5"/>
        <v>5.3338810303389215</v>
      </c>
    </row>
    <row r="32" spans="1:31" x14ac:dyDescent="0.25">
      <c r="A32" s="117" t="s">
        <v>571</v>
      </c>
      <c r="B32" s="115" t="s">
        <v>332</v>
      </c>
      <c r="C32" s="115" t="s">
        <v>572</v>
      </c>
      <c r="D32" s="93" t="s">
        <v>333</v>
      </c>
      <c r="E32" s="12">
        <f>'Hazard &amp; Exposure'!O5</f>
        <v>1.7503219558462924</v>
      </c>
      <c r="F32" s="12">
        <f>'Hazard &amp; Exposure'!P5</f>
        <v>3.4888052752557401</v>
      </c>
      <c r="G32" s="159">
        <f>'Hazard &amp; Exposure'!Q5</f>
        <v>2.6641709665151581</v>
      </c>
      <c r="H32" s="12">
        <f>'Hazard &amp; Exposure'!W5</f>
        <v>5</v>
      </c>
      <c r="I32" s="12">
        <f>'Hazard &amp; Exposure'!T5</f>
        <v>4.6565302075659556</v>
      </c>
      <c r="J32" s="12">
        <f>'Hazard &amp; Exposure'!AA5</f>
        <v>4.8282651037829778</v>
      </c>
      <c r="K32" s="12">
        <f t="shared" si="0"/>
        <v>3.8261386223768943</v>
      </c>
      <c r="L32" s="12">
        <f>Vulnerability!J5</f>
        <v>8.4718895576032551</v>
      </c>
      <c r="M32" s="12">
        <f>Vulnerability!O5</f>
        <v>3.9762687193070412</v>
      </c>
      <c r="N32" s="12">
        <f t="shared" si="1"/>
        <v>6.9733492781711837</v>
      </c>
      <c r="O32" s="12">
        <f>Vulnerability!AA5</f>
        <v>2.9029195450155241</v>
      </c>
      <c r="P32" s="12">
        <f>Vulnerability!AG5</f>
        <v>4.6987489637934257</v>
      </c>
      <c r="Q32" s="12">
        <f t="shared" si="2"/>
        <v>3.8561888581601105</v>
      </c>
      <c r="R32" s="12">
        <f t="shared" si="3"/>
        <v>5.6321385432652749</v>
      </c>
      <c r="S32" s="12">
        <f>'Lack of Coping Capacity'!F5</f>
        <v>3.5744359771757672</v>
      </c>
      <c r="T32" s="12">
        <f>'Lack of Coping Capacity'!I5</f>
        <v>7.5748013257980347</v>
      </c>
      <c r="U32" s="12">
        <f>'Lack of Coping Capacity'!J5</f>
        <v>5.5746186514869009</v>
      </c>
      <c r="V32" s="12">
        <f>'Lack of Coping Capacity'!M5</f>
        <v>8.6218705968158353</v>
      </c>
      <c r="W32" s="12">
        <f>'Lack of Coping Capacity'!S5</f>
        <v>6.2292692020879938</v>
      </c>
      <c r="X32" s="12" t="str">
        <f>'Lack of Coping Capacity'!U5</f>
        <v>x</v>
      </c>
      <c r="Y32" s="12">
        <f>'Lack of Coping Capacity'!V5</f>
        <v>7.425569899451915</v>
      </c>
      <c r="Z32" s="12">
        <f>'Lack of Coping Capacity'!AB5</f>
        <v>6.2135497816379814</v>
      </c>
      <c r="AA32" s="12">
        <f>'Lack of Coping Capacity'!AI5</f>
        <v>7.2295031010203177</v>
      </c>
      <c r="AB32" s="12">
        <f>'Lack of Coping Capacity'!AE5</f>
        <v>9.9846000000000004</v>
      </c>
      <c r="AC32" s="12">
        <f>'Lack of Coping Capacity'!AJ5</f>
        <v>7.8092176275527656</v>
      </c>
      <c r="AD32" s="12">
        <f t="shared" si="4"/>
        <v>7.0419987594943043</v>
      </c>
      <c r="AE32" s="12">
        <f t="shared" si="5"/>
        <v>5.3338810303389215</v>
      </c>
    </row>
    <row r="33" spans="1:31" x14ac:dyDescent="0.25">
      <c r="A33" s="117" t="s">
        <v>571</v>
      </c>
      <c r="B33" s="115" t="s">
        <v>338</v>
      </c>
      <c r="C33" s="115" t="s">
        <v>572</v>
      </c>
      <c r="D33" s="93" t="s">
        <v>339</v>
      </c>
      <c r="E33" s="12">
        <f>'Hazard &amp; Exposure'!O8</f>
        <v>1.7503219558462924</v>
      </c>
      <c r="F33" s="12">
        <f>'Hazard &amp; Exposure'!P8</f>
        <v>3.4888052752557401</v>
      </c>
      <c r="G33" s="159">
        <f>'Hazard &amp; Exposure'!Q8</f>
        <v>2.6641709665151581</v>
      </c>
      <c r="H33" s="12">
        <f>'Hazard &amp; Exposure'!W8</f>
        <v>5</v>
      </c>
      <c r="I33" s="12">
        <f>'Hazard &amp; Exposure'!T8</f>
        <v>4.6565302075659556</v>
      </c>
      <c r="J33" s="12">
        <f>'Hazard &amp; Exposure'!AA8</f>
        <v>4.8282651037829778</v>
      </c>
      <c r="K33" s="12">
        <f t="shared" si="0"/>
        <v>3.8261386223768943</v>
      </c>
      <c r="L33" s="12">
        <f>Vulnerability!J8</f>
        <v>8.4718895576032551</v>
      </c>
      <c r="M33" s="12">
        <f>Vulnerability!O8</f>
        <v>3.9762687193070412</v>
      </c>
      <c r="N33" s="12">
        <f t="shared" si="1"/>
        <v>6.9733492781711837</v>
      </c>
      <c r="O33" s="12">
        <f>Vulnerability!AA8</f>
        <v>2.9029195450155241</v>
      </c>
      <c r="P33" s="12">
        <f>Vulnerability!AG8</f>
        <v>4.6987489637934257</v>
      </c>
      <c r="Q33" s="12">
        <f t="shared" si="2"/>
        <v>3.8561888581601105</v>
      </c>
      <c r="R33" s="12">
        <f t="shared" si="3"/>
        <v>5.6321385432652749</v>
      </c>
      <c r="S33" s="12">
        <f>'Lack of Coping Capacity'!F8</f>
        <v>3.5744359771757672</v>
      </c>
      <c r="T33" s="12">
        <f>'Lack of Coping Capacity'!I8</f>
        <v>7.5748013257980347</v>
      </c>
      <c r="U33" s="12">
        <f>'Lack of Coping Capacity'!J8</f>
        <v>5.5746186514869009</v>
      </c>
      <c r="V33" s="12">
        <f>'Lack of Coping Capacity'!M8</f>
        <v>8.6218705968158353</v>
      </c>
      <c r="W33" s="12">
        <f>'Lack of Coping Capacity'!S8</f>
        <v>6.2292692020879938</v>
      </c>
      <c r="X33" s="12" t="str">
        <f>'Lack of Coping Capacity'!U8</f>
        <v>x</v>
      </c>
      <c r="Y33" s="12">
        <f>'Lack of Coping Capacity'!V8</f>
        <v>7.425569899451915</v>
      </c>
      <c r="Z33" s="12">
        <f>'Lack of Coping Capacity'!AB8</f>
        <v>6.2135497816379814</v>
      </c>
      <c r="AA33" s="12">
        <f>'Lack of Coping Capacity'!AI8</f>
        <v>7.2295031010203177</v>
      </c>
      <c r="AB33" s="12">
        <f>'Lack of Coping Capacity'!AE8</f>
        <v>9.9846000000000004</v>
      </c>
      <c r="AC33" s="12">
        <f>'Lack of Coping Capacity'!AJ8</f>
        <v>7.8092176275527656</v>
      </c>
      <c r="AD33" s="12">
        <f t="shared" si="4"/>
        <v>7.0419987594943043</v>
      </c>
      <c r="AE33" s="12">
        <f t="shared" si="5"/>
        <v>5.3338810303389215</v>
      </c>
    </row>
    <row r="34" spans="1:31" x14ac:dyDescent="0.25">
      <c r="A34" s="117" t="s">
        <v>571</v>
      </c>
      <c r="B34" s="115" t="s">
        <v>330</v>
      </c>
      <c r="C34" s="115" t="s">
        <v>572</v>
      </c>
      <c r="D34" s="93" t="s">
        <v>331</v>
      </c>
      <c r="E34" s="12">
        <f>'Hazard &amp; Exposure'!O4</f>
        <v>1.7503219558462924</v>
      </c>
      <c r="F34" s="12">
        <f>'Hazard &amp; Exposure'!P4</f>
        <v>3.4888052752557401</v>
      </c>
      <c r="G34" s="159">
        <f>'Hazard &amp; Exposure'!Q4</f>
        <v>2.6641709665151581</v>
      </c>
      <c r="H34" s="12">
        <f>'Hazard &amp; Exposure'!W4</f>
        <v>5</v>
      </c>
      <c r="I34" s="12">
        <f>'Hazard &amp; Exposure'!T4</f>
        <v>4.6565302075659556</v>
      </c>
      <c r="J34" s="12">
        <f>'Hazard &amp; Exposure'!AA4</f>
        <v>4.8282651037829778</v>
      </c>
      <c r="K34" s="12">
        <f t="shared" si="0"/>
        <v>3.8261386223768943</v>
      </c>
      <c r="L34" s="12">
        <f>Vulnerability!J4</f>
        <v>6.5481698373255099</v>
      </c>
      <c r="M34" s="12">
        <f>Vulnerability!O4</f>
        <v>3.3885731637514858</v>
      </c>
      <c r="N34" s="12">
        <f t="shared" si="1"/>
        <v>5.4949709461341678</v>
      </c>
      <c r="O34" s="12">
        <f>Vulnerability!AA4</f>
        <v>2.9029195450155241</v>
      </c>
      <c r="P34" s="12">
        <f>Vulnerability!AG4</f>
        <v>4.6987489637934257</v>
      </c>
      <c r="Q34" s="12">
        <f t="shared" si="2"/>
        <v>3.8561888581601105</v>
      </c>
      <c r="R34" s="12">
        <f t="shared" si="3"/>
        <v>4.72795669823787</v>
      </c>
      <c r="S34" s="12">
        <f>'Lack of Coping Capacity'!F4</f>
        <v>3.5744359771757672</v>
      </c>
      <c r="T34" s="12">
        <f>'Lack of Coping Capacity'!I4</f>
        <v>7.5748013257980347</v>
      </c>
      <c r="U34" s="12">
        <f>'Lack of Coping Capacity'!J4</f>
        <v>5.5746186514869009</v>
      </c>
      <c r="V34" s="12">
        <f>'Lack of Coping Capacity'!M4</f>
        <v>8.6218705968158353</v>
      </c>
      <c r="W34" s="12">
        <f>'Lack of Coping Capacity'!S4</f>
        <v>6.2292692020879938</v>
      </c>
      <c r="X34" s="12" t="str">
        <f>'Lack of Coping Capacity'!U4</f>
        <v>x</v>
      </c>
      <c r="Y34" s="12">
        <f>'Lack of Coping Capacity'!V4</f>
        <v>7.425569899451915</v>
      </c>
      <c r="Z34" s="12">
        <f>'Lack of Coping Capacity'!AB4</f>
        <v>6.2135497816379814</v>
      </c>
      <c r="AA34" s="12">
        <f>'Lack of Coping Capacity'!AI4</f>
        <v>7.2295031010203177</v>
      </c>
      <c r="AB34" s="12">
        <f>'Lack of Coping Capacity'!AE4</f>
        <v>9.9846000000000004</v>
      </c>
      <c r="AC34" s="12">
        <f>'Lack of Coping Capacity'!AJ4</f>
        <v>7.8092176275527656</v>
      </c>
      <c r="AD34" s="12">
        <f t="shared" si="4"/>
        <v>7.0419987594943043</v>
      </c>
      <c r="AE34" s="12">
        <f t="shared" si="5"/>
        <v>5.0316456085467225</v>
      </c>
    </row>
    <row r="35" spans="1:31" x14ac:dyDescent="0.25">
      <c r="A35" s="117" t="s">
        <v>385</v>
      </c>
      <c r="B35" s="115" t="s">
        <v>386</v>
      </c>
      <c r="C35" s="115" t="s">
        <v>575</v>
      </c>
      <c r="D35" s="93" t="s">
        <v>387</v>
      </c>
      <c r="E35" s="12">
        <f>'Hazard &amp; Exposure'!O31</f>
        <v>0</v>
      </c>
      <c r="F35" s="12">
        <f>'Hazard &amp; Exposure'!P31</f>
        <v>0</v>
      </c>
      <c r="G35" s="159">
        <f>'Hazard &amp; Exposure'!Q31</f>
        <v>0</v>
      </c>
      <c r="H35" s="12">
        <f>'Hazard &amp; Exposure'!W31</f>
        <v>5</v>
      </c>
      <c r="I35" s="12">
        <f>'Hazard &amp; Exposure'!T31</f>
        <v>8.067210585702945</v>
      </c>
      <c r="J35" s="12">
        <f>'Hazard &amp; Exposure'!AA31</f>
        <v>6.5336052928514725</v>
      </c>
      <c r="K35" s="12">
        <f t="shared" si="0"/>
        <v>3.9794089469401746</v>
      </c>
      <c r="L35" s="12">
        <f>Vulnerability!J31</f>
        <v>5.5493328316582238</v>
      </c>
      <c r="M35" s="12">
        <f>Vulnerability!O31</f>
        <v>1.1640937777777782</v>
      </c>
      <c r="N35" s="12">
        <f t="shared" si="1"/>
        <v>4.0875864803647417</v>
      </c>
      <c r="O35" s="12">
        <f>Vulnerability!AA31</f>
        <v>1.5509876562441312</v>
      </c>
      <c r="P35" s="12">
        <f>Vulnerability!AG31</f>
        <v>0.80186657074228329</v>
      </c>
      <c r="Q35" s="12">
        <f t="shared" si="2"/>
        <v>1.183490523460748</v>
      </c>
      <c r="R35" s="12">
        <f t="shared" si="3"/>
        <v>2.7608483773962562</v>
      </c>
      <c r="S35" s="12">
        <f>'Lack of Coping Capacity'!F31</f>
        <v>8.0127683565050205</v>
      </c>
      <c r="T35" s="12">
        <f>'Lack of Coping Capacity'!I31</f>
        <v>6.3694647312164303</v>
      </c>
      <c r="U35" s="12">
        <f>'Lack of Coping Capacity'!J31</f>
        <v>7.1911165438607254</v>
      </c>
      <c r="V35" s="12">
        <f>'Lack of Coping Capacity'!M31</f>
        <v>8.4472657303624654</v>
      </c>
      <c r="W35" s="12">
        <f>'Lack of Coping Capacity'!S31</f>
        <v>8.2329977628635334</v>
      </c>
      <c r="X35" s="12">
        <f>'Lack of Coping Capacity'!U31</f>
        <v>8.4059639223302298</v>
      </c>
      <c r="Y35" s="12">
        <f>'Lack of Coping Capacity'!V31</f>
        <v>8.3620758051854107</v>
      </c>
      <c r="Z35" s="12">
        <f>'Lack of Coping Capacity'!AB31</f>
        <v>5.0693877117172024</v>
      </c>
      <c r="AA35" s="12">
        <f>'Lack of Coping Capacity'!AI31</f>
        <v>6.9503220205383363</v>
      </c>
      <c r="AB35" s="12">
        <f>'Lack of Coping Capacity'!AE31</f>
        <v>9.838000000000001</v>
      </c>
      <c r="AC35" s="12">
        <f>'Lack of Coping Capacity'!AJ31</f>
        <v>7.2859032440851799</v>
      </c>
      <c r="AD35" s="12">
        <f t="shared" si="4"/>
        <v>7.6567032949783078</v>
      </c>
      <c r="AE35" s="12">
        <f t="shared" si="5"/>
        <v>4.3816160169541591</v>
      </c>
    </row>
    <row r="36" spans="1:31" x14ac:dyDescent="0.25">
      <c r="A36" s="117" t="s">
        <v>456</v>
      </c>
      <c r="B36" s="115" t="s">
        <v>465</v>
      </c>
      <c r="C36" s="115" t="s">
        <v>577</v>
      </c>
      <c r="D36" s="93" t="s">
        <v>466</v>
      </c>
      <c r="E36" s="12">
        <f>'Hazard &amp; Exposure'!O93</f>
        <v>2.1196077102551474</v>
      </c>
      <c r="F36" s="12">
        <f>'Hazard &amp; Exposure'!P93</f>
        <v>7.6841714667781735</v>
      </c>
      <c r="G36" s="159">
        <f>'Hazard &amp; Exposure'!Q93</f>
        <v>5.5601346684888098</v>
      </c>
      <c r="H36" s="12">
        <f>'Hazard &amp; Exposure'!W93</f>
        <v>3</v>
      </c>
      <c r="I36" s="12">
        <f>'Hazard &amp; Exposure'!T93</f>
        <v>0.97788148479162729</v>
      </c>
      <c r="J36" s="12">
        <f>'Hazard &amp; Exposure'!AA93</f>
        <v>1.9889407423958136</v>
      </c>
      <c r="K36" s="12">
        <f t="shared" ref="K36:K67" si="6">(10-GEOMEAN(((10-G36)/10*9+1),((10-J36)/10*9+1)))/9*10</f>
        <v>3.9951464665723395</v>
      </c>
      <c r="L36" s="12">
        <f>Vulnerability!J93</f>
        <v>5.079945891566835</v>
      </c>
      <c r="M36" s="12">
        <f>Vulnerability!O93</f>
        <v>4.5095039192264084</v>
      </c>
      <c r="N36" s="12">
        <f t="shared" ref="N36:N67" si="7">AVERAGE(L36,L36,M36)</f>
        <v>4.8897985674533588</v>
      </c>
      <c r="O36" s="12">
        <f>Vulnerability!AA93</f>
        <v>1.2424402474126526</v>
      </c>
      <c r="P36" s="12">
        <f>Vulnerability!AG93</f>
        <v>1.1851923696373962E-2</v>
      </c>
      <c r="Q36" s="12">
        <f t="shared" ref="Q36:Q67" si="8">(10-GEOMEAN(((10-O36)/10*9+1),((10-P36)/10*9+1)))/9*10</f>
        <v>0.64521718123215166</v>
      </c>
      <c r="R36" s="12">
        <f t="shared" ref="R36:R67" si="9">(10-GEOMEAN(((10-N36)/10*9+1),((10-Q36)/10*9+1)))/9*10</f>
        <v>3.0419353671737226</v>
      </c>
      <c r="S36" s="12">
        <f>'Lack of Coping Capacity'!F93</f>
        <v>9.7027985002702835</v>
      </c>
      <c r="T36" s="12">
        <f>'Lack of Coping Capacity'!I93</f>
        <v>5.0500521366237079</v>
      </c>
      <c r="U36" s="12">
        <f>'Lack of Coping Capacity'!J93</f>
        <v>7.3764253184469961</v>
      </c>
      <c r="V36" s="12">
        <f>'Lack of Coping Capacity'!M93</f>
        <v>6.2899603006728153</v>
      </c>
      <c r="W36" s="12">
        <f>'Lack of Coping Capacity'!S93</f>
        <v>7.8525167785234897</v>
      </c>
      <c r="X36" s="12" t="str">
        <f>'Lack of Coping Capacity'!U93</f>
        <v>x</v>
      </c>
      <c r="Y36" s="12">
        <f>'Lack of Coping Capacity'!V93</f>
        <v>7.0712385395981521</v>
      </c>
      <c r="Z36" s="12">
        <f>'Lack of Coping Capacity'!AB93</f>
        <v>5.1870628822252192</v>
      </c>
      <c r="AA36" s="12">
        <f>'Lack of Coping Capacity'!AI93</f>
        <v>8.1363926133236628</v>
      </c>
      <c r="AB36" s="12">
        <f>'Lack of Coping Capacity'!AE93</f>
        <v>9.7408000000000001</v>
      </c>
      <c r="AC36" s="12">
        <f>'Lack of Coping Capacity'!AJ93</f>
        <v>7.6880851651829616</v>
      </c>
      <c r="AD36" s="12">
        <f t="shared" ref="AD36:AD67" si="10">(10-GEOMEAN(((10-U36)/10*9+1),((10-Y36)/10*9+1),((10-AC36)/10*9+1)))/9*10</f>
        <v>7.3871027931157096</v>
      </c>
      <c r="AE36" s="12">
        <f t="shared" ref="AE36:AE67" si="11">K36^(1/3)*R36^(1/3)*AD36^(1/3)</f>
        <v>4.477671994239202</v>
      </c>
    </row>
    <row r="37" spans="1:31" x14ac:dyDescent="0.25">
      <c r="A37" s="117" t="s">
        <v>385</v>
      </c>
      <c r="B37" s="115" t="s">
        <v>392</v>
      </c>
      <c r="C37" s="115" t="s">
        <v>575</v>
      </c>
      <c r="D37" s="93" t="s">
        <v>393</v>
      </c>
      <c r="E37" s="12">
        <f>'Hazard &amp; Exposure'!O34</f>
        <v>1.6923237177771553</v>
      </c>
      <c r="F37" s="12">
        <f>'Hazard &amp; Exposure'!P34</f>
        <v>0.14505463924255027</v>
      </c>
      <c r="G37" s="159">
        <f>'Hazard &amp; Exposure'!Q34</f>
        <v>0.9480921476424381</v>
      </c>
      <c r="H37" s="12">
        <f>'Hazard &amp; Exposure'!W34</f>
        <v>5</v>
      </c>
      <c r="I37" s="12">
        <f>'Hazard &amp; Exposure'!T34</f>
        <v>8.067210585702945</v>
      </c>
      <c r="J37" s="12">
        <f>'Hazard &amp; Exposure'!AA34</f>
        <v>6.5336052928514725</v>
      </c>
      <c r="K37" s="12">
        <f t="shared" si="6"/>
        <v>4.2904602304135153</v>
      </c>
      <c r="L37" s="12">
        <f>Vulnerability!J34</f>
        <v>9.0191357313964939</v>
      </c>
      <c r="M37" s="12">
        <f>Vulnerability!O34</f>
        <v>2.6240013333333327</v>
      </c>
      <c r="N37" s="12">
        <f t="shared" si="7"/>
        <v>6.8874242653754401</v>
      </c>
      <c r="O37" s="12">
        <f>Vulnerability!AA34</f>
        <v>3.4507179150522873</v>
      </c>
      <c r="P37" s="12">
        <f>Vulnerability!AG34</f>
        <v>0.80186657074228329</v>
      </c>
      <c r="Q37" s="12">
        <f t="shared" si="8"/>
        <v>2.2244431903689428</v>
      </c>
      <c r="R37" s="12">
        <f t="shared" si="9"/>
        <v>4.9845702927324513</v>
      </c>
      <c r="S37" s="12">
        <f>'Lack of Coping Capacity'!F34</f>
        <v>8.0127683565050205</v>
      </c>
      <c r="T37" s="12">
        <f>'Lack of Coping Capacity'!I34</f>
        <v>6.3694647312164303</v>
      </c>
      <c r="U37" s="12">
        <f>'Lack of Coping Capacity'!J34</f>
        <v>7.1911165438607254</v>
      </c>
      <c r="V37" s="12">
        <f>'Lack of Coping Capacity'!M34</f>
        <v>8.4472657303624654</v>
      </c>
      <c r="W37" s="12">
        <f>'Lack of Coping Capacity'!S34</f>
        <v>8.2329977628635334</v>
      </c>
      <c r="X37" s="12">
        <f>'Lack of Coping Capacity'!U34</f>
        <v>8.4059639223302298</v>
      </c>
      <c r="Y37" s="12">
        <f>'Lack of Coping Capacity'!V34</f>
        <v>8.3620758051854107</v>
      </c>
      <c r="Z37" s="12">
        <f>'Lack of Coping Capacity'!AB34</f>
        <v>5.0693877117172024</v>
      </c>
      <c r="AA37" s="12">
        <f>'Lack of Coping Capacity'!AI34</f>
        <v>6.9503220205383363</v>
      </c>
      <c r="AB37" s="12">
        <f>'Lack of Coping Capacity'!AE34</f>
        <v>9.838000000000001</v>
      </c>
      <c r="AC37" s="12">
        <f>'Lack of Coping Capacity'!AJ34</f>
        <v>7.2859032440851799</v>
      </c>
      <c r="AD37" s="12">
        <f t="shared" si="10"/>
        <v>7.6567032949783078</v>
      </c>
      <c r="AE37" s="12">
        <f t="shared" si="11"/>
        <v>5.4708877969026499</v>
      </c>
    </row>
    <row r="38" spans="1:31" x14ac:dyDescent="0.25">
      <c r="A38" s="117" t="s">
        <v>408</v>
      </c>
      <c r="B38" s="115" t="s">
        <v>442</v>
      </c>
      <c r="C38" s="115" t="s">
        <v>576</v>
      </c>
      <c r="D38" s="93" t="s">
        <v>667</v>
      </c>
      <c r="E38" s="12">
        <f>'Hazard &amp; Exposure'!O75</f>
        <v>6.6788846279031455</v>
      </c>
      <c r="F38" s="12">
        <f>'Hazard &amp; Exposure'!P75</f>
        <v>0.72558081569888422</v>
      </c>
      <c r="G38" s="159">
        <f>'Hazard &amp; Exposure'!Q75</f>
        <v>4.3264945104854924</v>
      </c>
      <c r="H38" s="12">
        <f>'Hazard &amp; Exposure'!W75</f>
        <v>0</v>
      </c>
      <c r="I38" s="12">
        <f>'Hazard &amp; Exposure'!T75</f>
        <v>8.3825408014047689</v>
      </c>
      <c r="J38" s="12">
        <f>'Hazard &amp; Exposure'!AA75</f>
        <v>4.1912704007023844</v>
      </c>
      <c r="K38" s="12">
        <f t="shared" si="6"/>
        <v>4.2592160332859983</v>
      </c>
      <c r="L38" s="12">
        <f>Vulnerability!J75</f>
        <v>5.2310454265221429</v>
      </c>
      <c r="M38" s="12">
        <f>Vulnerability!O75</f>
        <v>4.5139937777777766</v>
      </c>
      <c r="N38" s="12">
        <f t="shared" si="7"/>
        <v>4.9920282102740208</v>
      </c>
      <c r="O38" s="12">
        <f>Vulnerability!AA75</f>
        <v>3.5608964337867768</v>
      </c>
      <c r="P38" s="12">
        <f>Vulnerability!AG75</f>
        <v>1.2711042119543197</v>
      </c>
      <c r="Q38" s="12">
        <f t="shared" si="8"/>
        <v>2.4917048371856083</v>
      </c>
      <c r="R38" s="12">
        <f t="shared" si="9"/>
        <v>3.8486830360011433</v>
      </c>
      <c r="S38" s="12">
        <f>'Lack of Coping Capacity'!F75</f>
        <v>8.0745683600492235</v>
      </c>
      <c r="T38" s="12">
        <f>'Lack of Coping Capacity'!I75</f>
        <v>6.7364291846752167</v>
      </c>
      <c r="U38" s="12">
        <f>'Lack of Coping Capacity'!J75</f>
        <v>7.4054987723622201</v>
      </c>
      <c r="V38" s="12">
        <f>'Lack of Coping Capacity'!M75</f>
        <v>2.5117977238917955</v>
      </c>
      <c r="W38" s="12">
        <f>'Lack of Coping Capacity'!S75</f>
        <v>7.4126894605420075</v>
      </c>
      <c r="X38" s="12">
        <f>'Lack of Coping Capacity'!U75</f>
        <v>9.8647237723687979</v>
      </c>
      <c r="Y38" s="12">
        <f>'Lack of Coping Capacity'!V75</f>
        <v>6.5964036522675329</v>
      </c>
      <c r="Z38" s="12">
        <f>'Lack of Coping Capacity'!AB75</f>
        <v>7.7216164848659146</v>
      </c>
      <c r="AA38" s="12">
        <f>'Lack of Coping Capacity'!AI75</f>
        <v>1.726022765340498</v>
      </c>
      <c r="AB38" s="12">
        <f>'Lack of Coping Capacity'!AE75</f>
        <v>8.6456</v>
      </c>
      <c r="AC38" s="12">
        <f>'Lack of Coping Capacity'!AJ75</f>
        <v>6.0310797500688045</v>
      </c>
      <c r="AD38" s="12">
        <f t="shared" si="10"/>
        <v>6.7144938170764039</v>
      </c>
      <c r="AE38" s="12">
        <f t="shared" si="11"/>
        <v>4.7923849705247212</v>
      </c>
    </row>
    <row r="39" spans="1:31" x14ac:dyDescent="0.25">
      <c r="A39" s="117" t="s">
        <v>385</v>
      </c>
      <c r="B39" s="115" t="s">
        <v>394</v>
      </c>
      <c r="C39" s="115" t="s">
        <v>575</v>
      </c>
      <c r="D39" s="93" t="s">
        <v>395</v>
      </c>
      <c r="E39" s="12">
        <f>'Hazard &amp; Exposure'!O35</f>
        <v>3.5408319152591323</v>
      </c>
      <c r="F39" s="12">
        <f>'Hazard &amp; Exposure'!P35</f>
        <v>6.545982615369863</v>
      </c>
      <c r="G39" s="159">
        <f>'Hazard &amp; Exposure'!Q35</f>
        <v>5.2323954964805637</v>
      </c>
      <c r="H39" s="12">
        <f>'Hazard &amp; Exposure'!W35</f>
        <v>0</v>
      </c>
      <c r="I39" s="12">
        <f>'Hazard &amp; Exposure'!T35</f>
        <v>8.067210585702945</v>
      </c>
      <c r="J39" s="12">
        <f>'Hazard &amp; Exposure'!AA35</f>
        <v>4.0336052928514725</v>
      </c>
      <c r="K39" s="12">
        <f t="shared" si="6"/>
        <v>4.6607898814015787</v>
      </c>
      <c r="L39" s="12">
        <f>Vulnerability!J35</f>
        <v>6.9297783840215255</v>
      </c>
      <c r="M39" s="12">
        <f>Vulnerability!O35</f>
        <v>3.2769777777777782</v>
      </c>
      <c r="N39" s="12">
        <f t="shared" si="7"/>
        <v>5.7121781819402768</v>
      </c>
      <c r="O39" s="12">
        <f>Vulnerability!AA35</f>
        <v>0</v>
      </c>
      <c r="P39" s="12">
        <f>Vulnerability!AG35</f>
        <v>0.80186657074228329</v>
      </c>
      <c r="Q39" s="12">
        <f t="shared" si="8"/>
        <v>0.40844034351045544</v>
      </c>
      <c r="R39" s="12">
        <f t="shared" si="9"/>
        <v>3.5095979961271437</v>
      </c>
      <c r="S39" s="12">
        <f>'Lack of Coping Capacity'!F35</f>
        <v>8.0127683565050205</v>
      </c>
      <c r="T39" s="12">
        <f>'Lack of Coping Capacity'!I35</f>
        <v>6.3694647312164303</v>
      </c>
      <c r="U39" s="12">
        <f>'Lack of Coping Capacity'!J35</f>
        <v>7.1911165438607254</v>
      </c>
      <c r="V39" s="12">
        <f>'Lack of Coping Capacity'!M35</f>
        <v>8.4472657303624654</v>
      </c>
      <c r="W39" s="12">
        <f>'Lack of Coping Capacity'!S35</f>
        <v>8.2329977628635334</v>
      </c>
      <c r="X39" s="12">
        <f>'Lack of Coping Capacity'!U35</f>
        <v>8.4059639223302298</v>
      </c>
      <c r="Y39" s="12">
        <f>'Lack of Coping Capacity'!V35</f>
        <v>8.3620758051854107</v>
      </c>
      <c r="Z39" s="12">
        <f>'Lack of Coping Capacity'!AB35</f>
        <v>5.0693877117172024</v>
      </c>
      <c r="AA39" s="12">
        <f>'Lack of Coping Capacity'!AI35</f>
        <v>6.9503220205383363</v>
      </c>
      <c r="AB39" s="12">
        <f>'Lack of Coping Capacity'!AE35</f>
        <v>9.838000000000001</v>
      </c>
      <c r="AC39" s="12">
        <f>'Lack of Coping Capacity'!AJ35</f>
        <v>7.2859032440851799</v>
      </c>
      <c r="AD39" s="12">
        <f t="shared" si="10"/>
        <v>7.6567032949783078</v>
      </c>
      <c r="AE39" s="12">
        <f t="shared" si="11"/>
        <v>5.0032580788566046</v>
      </c>
    </row>
    <row r="40" spans="1:31" x14ac:dyDescent="0.25">
      <c r="A40" s="117" t="s">
        <v>560</v>
      </c>
      <c r="B40" s="115" t="s">
        <v>569</v>
      </c>
      <c r="C40" s="115" t="s">
        <v>581</v>
      </c>
      <c r="D40" s="93" t="s">
        <v>615</v>
      </c>
      <c r="E40" s="12">
        <f>'Hazard &amp; Exposure'!O147</f>
        <v>7.2417781196845867</v>
      </c>
      <c r="F40" s="12">
        <f>'Hazard &amp; Exposure'!P147</f>
        <v>0.59696074885229722</v>
      </c>
      <c r="G40" s="159">
        <f>'Hazard &amp; Exposure'!Q147</f>
        <v>4.7328081335545278</v>
      </c>
      <c r="H40" s="12">
        <f>'Hazard &amp; Exposure'!W147</f>
        <v>4</v>
      </c>
      <c r="I40" s="12">
        <f>'Hazard &amp; Exposure'!T147</f>
        <v>5.1992551517796564</v>
      </c>
      <c r="J40" s="12">
        <f>'Hazard &amp; Exposure'!AA147</f>
        <v>4.5996275758898282</v>
      </c>
      <c r="K40" s="12">
        <f t="shared" si="6"/>
        <v>4.6665618777657274</v>
      </c>
      <c r="L40" s="12">
        <f>Vulnerability!J147</f>
        <v>7.6473687147406704</v>
      </c>
      <c r="M40" s="12">
        <f>Vulnerability!O147</f>
        <v>3.7923823761683213</v>
      </c>
      <c r="N40" s="12">
        <f t="shared" si="7"/>
        <v>6.3623732685498879</v>
      </c>
      <c r="O40" s="12">
        <f>Vulnerability!AA147</f>
        <v>1.9816394870987146</v>
      </c>
      <c r="P40" s="12">
        <f>Vulnerability!AG147</f>
        <v>2.5183962863371236E-2</v>
      </c>
      <c r="Q40" s="12">
        <f t="shared" si="8"/>
        <v>1.0508597561102622</v>
      </c>
      <c r="R40" s="12">
        <f t="shared" si="9"/>
        <v>4.1992737059654752</v>
      </c>
      <c r="S40" s="12">
        <f>'Lack of Coping Capacity'!F147</f>
        <v>6.4913798911920617</v>
      </c>
      <c r="T40" s="12">
        <f>'Lack of Coping Capacity'!I147</f>
        <v>6.7801740288734438</v>
      </c>
      <c r="U40" s="12">
        <f>'Lack of Coping Capacity'!J147</f>
        <v>6.6357769600327527</v>
      </c>
      <c r="V40" s="12">
        <f>'Lack of Coping Capacity'!M147</f>
        <v>6.1754654630968755</v>
      </c>
      <c r="W40" s="12">
        <f>'Lack of Coping Capacity'!S147</f>
        <v>7.7079791200596572</v>
      </c>
      <c r="X40" s="12">
        <f>'Lack of Coping Capacity'!U147</f>
        <v>6.94</v>
      </c>
      <c r="Y40" s="12">
        <f>'Lack of Coping Capacity'!V147</f>
        <v>6.9411481943855113</v>
      </c>
      <c r="Z40" s="12">
        <f>'Lack of Coping Capacity'!AB147</f>
        <v>6.1989116448528341</v>
      </c>
      <c r="AA40" s="12">
        <f>'Lack of Coping Capacity'!AI147</f>
        <v>4.6060217842026754</v>
      </c>
      <c r="AB40" s="12">
        <f>'Lack of Coping Capacity'!AE147</f>
        <v>9.7703999999999986</v>
      </c>
      <c r="AC40" s="12">
        <f>'Lack of Coping Capacity'!AJ147</f>
        <v>6.8584444763518357</v>
      </c>
      <c r="AD40" s="12">
        <f t="shared" si="10"/>
        <v>6.8137056302967398</v>
      </c>
      <c r="AE40" s="12">
        <f t="shared" si="11"/>
        <v>5.1111448943767437</v>
      </c>
    </row>
    <row r="41" spans="1:31" x14ac:dyDescent="0.25">
      <c r="A41" s="117" t="s">
        <v>525</v>
      </c>
      <c r="B41" s="115" t="s">
        <v>534</v>
      </c>
      <c r="C41" s="115" t="s">
        <v>579</v>
      </c>
      <c r="D41" s="93" t="s">
        <v>535</v>
      </c>
      <c r="E41" s="12">
        <f>'Hazard &amp; Exposure'!O126</f>
        <v>6.5226364705566997</v>
      </c>
      <c r="F41" s="12">
        <f>'Hazard &amp; Exposure'!P126</f>
        <v>1.699055053524978</v>
      </c>
      <c r="G41" s="159">
        <f>'Hazard &amp; Exposure'!Q126</f>
        <v>4.5394309198882841</v>
      </c>
      <c r="H41" s="12">
        <f>'Hazard &amp; Exposure'!W126</f>
        <v>0</v>
      </c>
      <c r="I41" s="12">
        <f>'Hazard &amp; Exposure'!T126</f>
        <v>10</v>
      </c>
      <c r="J41" s="12">
        <f>'Hazard &amp; Exposure'!AA126</f>
        <v>5</v>
      </c>
      <c r="K41" s="12">
        <f t="shared" si="6"/>
        <v>4.773898172030508</v>
      </c>
      <c r="L41" s="12">
        <f>Vulnerability!J126</f>
        <v>6.0355542645233431</v>
      </c>
      <c r="M41" s="12">
        <f>Vulnerability!O126</f>
        <v>5.472427492671776</v>
      </c>
      <c r="N41" s="12">
        <f t="shared" si="7"/>
        <v>5.847845340572821</v>
      </c>
      <c r="O41" s="12">
        <f>Vulnerability!AA126</f>
        <v>2.716738338557052</v>
      </c>
      <c r="P41" s="12">
        <f>Vulnerability!AG126</f>
        <v>4.6706000515952937</v>
      </c>
      <c r="Q41" s="12">
        <f t="shared" si="8"/>
        <v>3.7582850775827188</v>
      </c>
      <c r="R41" s="12">
        <f t="shared" si="9"/>
        <v>4.8901885445625757</v>
      </c>
      <c r="S41" s="12">
        <f>'Lack of Coping Capacity'!F126</f>
        <v>9.0741303159868121</v>
      </c>
      <c r="T41" s="12">
        <f>'Lack of Coping Capacity'!I126</f>
        <v>8.4814011573791497</v>
      </c>
      <c r="U41" s="12">
        <f>'Lack of Coping Capacity'!J126</f>
        <v>8.77776573668298</v>
      </c>
      <c r="V41" s="12">
        <f>'Lack of Coping Capacity'!M126</f>
        <v>4.0873843546619799</v>
      </c>
      <c r="W41" s="12">
        <f>'Lack of Coping Capacity'!S126</f>
        <v>6.9611111111111104</v>
      </c>
      <c r="X41" s="12">
        <f>'Lack of Coping Capacity'!U126</f>
        <v>7.313265781810947</v>
      </c>
      <c r="Y41" s="12">
        <f>'Lack of Coping Capacity'!V126</f>
        <v>6.1205870825280124</v>
      </c>
      <c r="Z41" s="12">
        <f>'Lack of Coping Capacity'!AB126</f>
        <v>8.3770804987890024</v>
      </c>
      <c r="AA41" s="12">
        <f>'Lack of Coping Capacity'!AI126</f>
        <v>5.1365251441479209</v>
      </c>
      <c r="AB41" s="12">
        <f>'Lack of Coping Capacity'!AE126</f>
        <v>9.69</v>
      </c>
      <c r="AC41" s="12">
        <f>'Lack of Coping Capacity'!AJ126</f>
        <v>7.7345352143123085</v>
      </c>
      <c r="AD41" s="12">
        <f t="shared" si="10"/>
        <v>7.7106806509985324</v>
      </c>
      <c r="AE41" s="12">
        <f t="shared" si="11"/>
        <v>5.6462983682573107</v>
      </c>
    </row>
    <row r="42" spans="1:31" x14ac:dyDescent="0.25">
      <c r="A42" s="117" t="s">
        <v>408</v>
      </c>
      <c r="B42" s="115" t="s">
        <v>443</v>
      </c>
      <c r="C42" s="115" t="s">
        <v>576</v>
      </c>
      <c r="D42" s="93" t="s">
        <v>668</v>
      </c>
      <c r="E42" s="12">
        <f>'Hazard &amp; Exposure'!O76</f>
        <v>3.0915996041778806</v>
      </c>
      <c r="F42" s="12">
        <f>'Hazard &amp; Exposure'!P76</f>
        <v>0.74897873301439055</v>
      </c>
      <c r="G42" s="159">
        <f>'Hazard &amp; Exposure'!Q76</f>
        <v>1.9952326650965921</v>
      </c>
      <c r="H42" s="12">
        <f>'Hazard &amp; Exposure'!W76</f>
        <v>5</v>
      </c>
      <c r="I42" s="12">
        <f>'Hazard &amp; Exposure'!T76</f>
        <v>8.3825408014047689</v>
      </c>
      <c r="J42" s="12">
        <f>'Hazard &amp; Exposure'!AA76</f>
        <v>6.6912704007023844</v>
      </c>
      <c r="K42" s="12">
        <f t="shared" si="6"/>
        <v>4.7636131263274679</v>
      </c>
      <c r="L42" s="12">
        <f>Vulnerability!J76</f>
        <v>4.6406137504222231</v>
      </c>
      <c r="M42" s="12">
        <f>Vulnerability!O76</f>
        <v>4.1529182222222216</v>
      </c>
      <c r="N42" s="12">
        <f t="shared" si="7"/>
        <v>4.4780485743555554</v>
      </c>
      <c r="O42" s="12">
        <f>Vulnerability!AA76</f>
        <v>3.5608964337867768</v>
      </c>
      <c r="P42" s="12">
        <f>Vulnerability!AG76</f>
        <v>1.2711042119543197</v>
      </c>
      <c r="Q42" s="12">
        <f t="shared" si="8"/>
        <v>2.4917048371856083</v>
      </c>
      <c r="R42" s="12">
        <f t="shared" si="9"/>
        <v>3.5498241277562896</v>
      </c>
      <c r="S42" s="12">
        <f>'Lack of Coping Capacity'!F76</f>
        <v>8.0745683600492235</v>
      </c>
      <c r="T42" s="12">
        <f>'Lack of Coping Capacity'!I76</f>
        <v>6.7364291846752167</v>
      </c>
      <c r="U42" s="12">
        <f>'Lack of Coping Capacity'!J76</f>
        <v>7.4054987723622201</v>
      </c>
      <c r="V42" s="12">
        <f>'Lack of Coping Capacity'!M76</f>
        <v>2.5117977238917955</v>
      </c>
      <c r="W42" s="12">
        <f>'Lack of Coping Capacity'!S76</f>
        <v>7.4126894605420075</v>
      </c>
      <c r="X42" s="12">
        <f>'Lack of Coping Capacity'!U76</f>
        <v>9.8647237723687979</v>
      </c>
      <c r="Y42" s="12">
        <f>'Lack of Coping Capacity'!V76</f>
        <v>6.5964036522675329</v>
      </c>
      <c r="Z42" s="12">
        <f>'Lack of Coping Capacity'!AB76</f>
        <v>7.7216164848659146</v>
      </c>
      <c r="AA42" s="12">
        <f>'Lack of Coping Capacity'!AI76</f>
        <v>1.726022765340498</v>
      </c>
      <c r="AB42" s="12">
        <f>'Lack of Coping Capacity'!AE76</f>
        <v>8.6456</v>
      </c>
      <c r="AC42" s="12">
        <f>'Lack of Coping Capacity'!AJ76</f>
        <v>6.0310797500688045</v>
      </c>
      <c r="AD42" s="12">
        <f t="shared" si="10"/>
        <v>6.7144938170764039</v>
      </c>
      <c r="AE42" s="12">
        <f t="shared" si="11"/>
        <v>4.8423056558906978</v>
      </c>
    </row>
    <row r="43" spans="1:31" x14ac:dyDescent="0.25">
      <c r="A43" s="117" t="s">
        <v>385</v>
      </c>
      <c r="B43" s="115" t="s">
        <v>398</v>
      </c>
      <c r="C43" s="115" t="s">
        <v>575</v>
      </c>
      <c r="D43" s="93" t="s">
        <v>399</v>
      </c>
      <c r="E43" s="12">
        <f>'Hazard &amp; Exposure'!O37</f>
        <v>0</v>
      </c>
      <c r="F43" s="12">
        <f>'Hazard &amp; Exposure'!P37</f>
        <v>6.4292981019068272</v>
      </c>
      <c r="G43" s="159">
        <f>'Hazard &amp; Exposure'!Q37</f>
        <v>3.8986119224307911</v>
      </c>
      <c r="H43" s="12">
        <f>'Hazard &amp; Exposure'!W37</f>
        <v>3</v>
      </c>
      <c r="I43" s="12">
        <f>'Hazard &amp; Exposure'!T37</f>
        <v>8.067210585702945</v>
      </c>
      <c r="J43" s="12">
        <f>'Hazard &amp; Exposure'!AA37</f>
        <v>5.5336052928514725</v>
      </c>
      <c r="K43" s="12">
        <f t="shared" si="6"/>
        <v>4.7685756410441602</v>
      </c>
      <c r="L43" s="12">
        <f>Vulnerability!J37</f>
        <v>6.8966768825062497</v>
      </c>
      <c r="M43" s="12">
        <f>Vulnerability!O37</f>
        <v>3.2947919999999997</v>
      </c>
      <c r="N43" s="12">
        <f t="shared" si="7"/>
        <v>5.6960485883374998</v>
      </c>
      <c r="O43" s="12">
        <f>Vulnerability!AA37</f>
        <v>2.2131497043394717</v>
      </c>
      <c r="P43" s="12">
        <f>Vulnerability!AG37</f>
        <v>0.80186657074228329</v>
      </c>
      <c r="Q43" s="12">
        <f t="shared" si="8"/>
        <v>1.5334673479941585</v>
      </c>
      <c r="R43" s="12">
        <f t="shared" si="9"/>
        <v>3.9094765884398148</v>
      </c>
      <c r="S43" s="12">
        <f>'Lack of Coping Capacity'!F37</f>
        <v>8.0127683565050205</v>
      </c>
      <c r="T43" s="12">
        <f>'Lack of Coping Capacity'!I37</f>
        <v>6.3694647312164303</v>
      </c>
      <c r="U43" s="12">
        <f>'Lack of Coping Capacity'!J37</f>
        <v>7.1911165438607254</v>
      </c>
      <c r="V43" s="12">
        <f>'Lack of Coping Capacity'!M37</f>
        <v>8.4472657303624654</v>
      </c>
      <c r="W43" s="12">
        <f>'Lack of Coping Capacity'!S37</f>
        <v>8.2329977628635334</v>
      </c>
      <c r="X43" s="12">
        <f>'Lack of Coping Capacity'!U37</f>
        <v>8.4059639223302298</v>
      </c>
      <c r="Y43" s="12">
        <f>'Lack of Coping Capacity'!V37</f>
        <v>8.3620758051854107</v>
      </c>
      <c r="Z43" s="12">
        <f>'Lack of Coping Capacity'!AB37</f>
        <v>5.0693877117172024</v>
      </c>
      <c r="AA43" s="12">
        <f>'Lack of Coping Capacity'!AI37</f>
        <v>6.9503220205383363</v>
      </c>
      <c r="AB43" s="12">
        <f>'Lack of Coping Capacity'!AE37</f>
        <v>9.838000000000001</v>
      </c>
      <c r="AC43" s="12">
        <f>'Lack of Coping Capacity'!AJ37</f>
        <v>7.2859032440851799</v>
      </c>
      <c r="AD43" s="12">
        <f t="shared" si="10"/>
        <v>7.6567032949783078</v>
      </c>
      <c r="AE43" s="12">
        <f t="shared" si="11"/>
        <v>5.2261640350774332</v>
      </c>
    </row>
    <row r="44" spans="1:31" x14ac:dyDescent="0.25">
      <c r="A44" s="117" t="s">
        <v>408</v>
      </c>
      <c r="B44" s="115" t="s">
        <v>437</v>
      </c>
      <c r="C44" s="115" t="s">
        <v>576</v>
      </c>
      <c r="D44" s="93" t="s">
        <v>662</v>
      </c>
      <c r="E44" s="12">
        <f>'Hazard &amp; Exposure'!O70</f>
        <v>4.9855712663540857</v>
      </c>
      <c r="F44" s="12">
        <f>'Hazard &amp; Exposure'!P70</f>
        <v>5.7742069693568328E-6</v>
      </c>
      <c r="G44" s="159">
        <f>'Hazard &amp; Exposure'!Q70</f>
        <v>2.8611705985680795</v>
      </c>
      <c r="H44" s="12">
        <f>'Hazard &amp; Exposure'!W70</f>
        <v>5</v>
      </c>
      <c r="I44" s="12">
        <f>'Hazard &amp; Exposure'!T70</f>
        <v>8.3825408014047689</v>
      </c>
      <c r="J44" s="12">
        <f>'Hazard &amp; Exposure'!AA70</f>
        <v>6.6912704007023844</v>
      </c>
      <c r="K44" s="12">
        <f t="shared" si="6"/>
        <v>5.0726160224497052</v>
      </c>
      <c r="L44" s="12">
        <f>Vulnerability!J70</f>
        <v>4.3469370579707274</v>
      </c>
      <c r="M44" s="12">
        <f>Vulnerability!O70</f>
        <v>3.7201404444444441</v>
      </c>
      <c r="N44" s="12">
        <f t="shared" si="7"/>
        <v>4.1380048534619664</v>
      </c>
      <c r="O44" s="12">
        <f>Vulnerability!AA70</f>
        <v>3.5608964337867768</v>
      </c>
      <c r="P44" s="12">
        <f>Vulnerability!AG70</f>
        <v>1.2711042119543197</v>
      </c>
      <c r="Q44" s="12">
        <f t="shared" si="8"/>
        <v>2.4917048371856083</v>
      </c>
      <c r="R44" s="12">
        <f t="shared" si="9"/>
        <v>3.3584318435333382</v>
      </c>
      <c r="S44" s="12">
        <f>'Lack of Coping Capacity'!F70</f>
        <v>8.0745683600492235</v>
      </c>
      <c r="T44" s="12">
        <f>'Lack of Coping Capacity'!I70</f>
        <v>6.7364291846752167</v>
      </c>
      <c r="U44" s="12">
        <f>'Lack of Coping Capacity'!J70</f>
        <v>7.4054987723622201</v>
      </c>
      <c r="V44" s="12">
        <f>'Lack of Coping Capacity'!M70</f>
        <v>2.5117977238917955</v>
      </c>
      <c r="W44" s="12">
        <f>'Lack of Coping Capacity'!S70</f>
        <v>7.4126894605420075</v>
      </c>
      <c r="X44" s="12">
        <f>'Lack of Coping Capacity'!U70</f>
        <v>9.8647237723687979</v>
      </c>
      <c r="Y44" s="12">
        <f>'Lack of Coping Capacity'!V70</f>
        <v>6.5964036522675329</v>
      </c>
      <c r="Z44" s="12">
        <f>'Lack of Coping Capacity'!AB70</f>
        <v>7.7216164848659146</v>
      </c>
      <c r="AA44" s="12">
        <f>'Lack of Coping Capacity'!AI70</f>
        <v>1.726022765340498</v>
      </c>
      <c r="AB44" s="12">
        <f>'Lack of Coping Capacity'!AE70</f>
        <v>8.6456</v>
      </c>
      <c r="AC44" s="12">
        <f>'Lack of Coping Capacity'!AJ70</f>
        <v>6.0310797500688045</v>
      </c>
      <c r="AD44" s="12">
        <f t="shared" si="10"/>
        <v>6.7144938170764039</v>
      </c>
      <c r="AE44" s="12">
        <f t="shared" si="11"/>
        <v>4.8543073348827139</v>
      </c>
    </row>
    <row r="45" spans="1:31" x14ac:dyDescent="0.25">
      <c r="A45" s="117" t="s">
        <v>560</v>
      </c>
      <c r="B45" s="115" t="s">
        <v>561</v>
      </c>
      <c r="C45" s="115" t="s">
        <v>581</v>
      </c>
      <c r="D45" s="93" t="s">
        <v>607</v>
      </c>
      <c r="E45" s="12">
        <f>'Hazard &amp; Exposure'!O139</f>
        <v>6.9752467823376252</v>
      </c>
      <c r="F45" s="12">
        <f>'Hazard &amp; Exposure'!P139</f>
        <v>2.0095910073632499</v>
      </c>
      <c r="G45" s="159">
        <f>'Hazard &amp; Exposure'!Q139</f>
        <v>4.9757502957469866</v>
      </c>
      <c r="H45" s="12">
        <f>'Hazard &amp; Exposure'!W139</f>
        <v>5</v>
      </c>
      <c r="I45" s="12">
        <f>'Hazard &amp; Exposure'!T139</f>
        <v>5.1992551517796564</v>
      </c>
      <c r="J45" s="12">
        <f>'Hazard &amp; Exposure'!AA139</f>
        <v>5.0996275758898282</v>
      </c>
      <c r="K45" s="12">
        <f t="shared" si="6"/>
        <v>5.038004778746819</v>
      </c>
      <c r="L45" s="12">
        <f>Vulnerability!J139</f>
        <v>6.2017188447046987</v>
      </c>
      <c r="M45" s="12">
        <f>Vulnerability!O139</f>
        <v>3.4875414872794317</v>
      </c>
      <c r="N45" s="12">
        <f t="shared" si="7"/>
        <v>5.2969930588962759</v>
      </c>
      <c r="O45" s="12">
        <f>Vulnerability!AA139</f>
        <v>1.9816394870987146</v>
      </c>
      <c r="P45" s="12">
        <f>Vulnerability!AG139</f>
        <v>2.5183962863371236E-2</v>
      </c>
      <c r="Q45" s="12">
        <f t="shared" si="8"/>
        <v>1.0508597561102622</v>
      </c>
      <c r="R45" s="12">
        <f t="shared" si="9"/>
        <v>3.463138241590118</v>
      </c>
      <c r="S45" s="12">
        <f>'Lack of Coping Capacity'!F139</f>
        <v>6.4913798911920617</v>
      </c>
      <c r="T45" s="12">
        <f>'Lack of Coping Capacity'!I139</f>
        <v>6.7801740288734438</v>
      </c>
      <c r="U45" s="12">
        <f>'Lack of Coping Capacity'!J139</f>
        <v>6.6357769600327527</v>
      </c>
      <c r="V45" s="12">
        <f>'Lack of Coping Capacity'!M139</f>
        <v>6.1754654630968755</v>
      </c>
      <c r="W45" s="12">
        <f>'Lack of Coping Capacity'!S139</f>
        <v>7.7079791200596572</v>
      </c>
      <c r="X45" s="12">
        <f>'Lack of Coping Capacity'!U139</f>
        <v>6.94</v>
      </c>
      <c r="Y45" s="12">
        <f>'Lack of Coping Capacity'!V139</f>
        <v>6.9411481943855113</v>
      </c>
      <c r="Z45" s="12">
        <f>'Lack of Coping Capacity'!AB139</f>
        <v>6.1989116448528341</v>
      </c>
      <c r="AA45" s="12">
        <f>'Lack of Coping Capacity'!AI139</f>
        <v>4.6060217842026754</v>
      </c>
      <c r="AB45" s="12">
        <f>'Lack of Coping Capacity'!AE139</f>
        <v>9.7703999999999986</v>
      </c>
      <c r="AC45" s="12">
        <f>'Lack of Coping Capacity'!AJ139</f>
        <v>6.8584444763518357</v>
      </c>
      <c r="AD45" s="12">
        <f t="shared" si="10"/>
        <v>6.8137056302967398</v>
      </c>
      <c r="AE45" s="12">
        <f t="shared" si="11"/>
        <v>4.9170420618286608</v>
      </c>
    </row>
    <row r="46" spans="1:31" x14ac:dyDescent="0.25">
      <c r="A46" s="117" t="s">
        <v>408</v>
      </c>
      <c r="B46" s="115" t="s">
        <v>421</v>
      </c>
      <c r="C46" s="115" t="s">
        <v>576</v>
      </c>
      <c r="D46" s="93" t="s">
        <v>646</v>
      </c>
      <c r="E46" s="12">
        <f>'Hazard &amp; Exposure'!O54</f>
        <v>5.1693118970725207</v>
      </c>
      <c r="F46" s="12">
        <f>'Hazard &amp; Exposure'!P54</f>
        <v>0.61853518749838998</v>
      </c>
      <c r="G46" s="159">
        <f>'Hazard &amp; Exposure'!Q54</f>
        <v>3.2152400777062273</v>
      </c>
      <c r="H46" s="12">
        <f>'Hazard &amp; Exposure'!W54</f>
        <v>5</v>
      </c>
      <c r="I46" s="12">
        <f>'Hazard &amp; Exposure'!T54</f>
        <v>8.3825408014047689</v>
      </c>
      <c r="J46" s="12">
        <f>'Hazard &amp; Exposure'!AA54</f>
        <v>6.6912704007023844</v>
      </c>
      <c r="K46" s="12">
        <f t="shared" si="6"/>
        <v>5.203616529007804</v>
      </c>
      <c r="L46" s="12">
        <f>Vulnerability!J54</f>
        <v>4.3570608835899645</v>
      </c>
      <c r="M46" s="12">
        <f>Vulnerability!O54</f>
        <v>3.5261404444444442</v>
      </c>
      <c r="N46" s="12">
        <f t="shared" si="7"/>
        <v>4.0800874038747912</v>
      </c>
      <c r="O46" s="12">
        <f>Vulnerability!AA54</f>
        <v>3.5608964337867768</v>
      </c>
      <c r="P46" s="12">
        <f>Vulnerability!AG54</f>
        <v>1.2711042119543197</v>
      </c>
      <c r="Q46" s="12">
        <f t="shared" si="8"/>
        <v>2.4917048371856083</v>
      </c>
      <c r="R46" s="12">
        <f t="shared" si="9"/>
        <v>3.3263021953912348</v>
      </c>
      <c r="S46" s="12">
        <f>'Lack of Coping Capacity'!F54</f>
        <v>8.0745683600492235</v>
      </c>
      <c r="T46" s="12">
        <f>'Lack of Coping Capacity'!I54</f>
        <v>6.7364291846752167</v>
      </c>
      <c r="U46" s="12">
        <f>'Lack of Coping Capacity'!J54</f>
        <v>7.4054987723622201</v>
      </c>
      <c r="V46" s="12">
        <f>'Lack of Coping Capacity'!M54</f>
        <v>2.5117977238917955</v>
      </c>
      <c r="W46" s="12">
        <f>'Lack of Coping Capacity'!S54</f>
        <v>7.4126894605420075</v>
      </c>
      <c r="X46" s="12">
        <f>'Lack of Coping Capacity'!U54</f>
        <v>9.8647237723687979</v>
      </c>
      <c r="Y46" s="12">
        <f>'Lack of Coping Capacity'!V54</f>
        <v>6.5964036522675329</v>
      </c>
      <c r="Z46" s="12">
        <f>'Lack of Coping Capacity'!AB54</f>
        <v>7.7216164848659146</v>
      </c>
      <c r="AA46" s="12">
        <f>'Lack of Coping Capacity'!AI54</f>
        <v>1.726022765340498</v>
      </c>
      <c r="AB46" s="12">
        <f>'Lack of Coping Capacity'!AE54</f>
        <v>8.6456</v>
      </c>
      <c r="AC46" s="12">
        <f>'Lack of Coping Capacity'!AJ54</f>
        <v>6.0310797500688045</v>
      </c>
      <c r="AD46" s="12">
        <f t="shared" si="10"/>
        <v>6.7144938170764039</v>
      </c>
      <c r="AE46" s="12">
        <f t="shared" si="11"/>
        <v>4.880077904873267</v>
      </c>
    </row>
    <row r="47" spans="1:31" x14ac:dyDescent="0.25">
      <c r="A47" s="117" t="s">
        <v>504</v>
      </c>
      <c r="B47" s="115" t="s">
        <v>519</v>
      </c>
      <c r="C47" s="115" t="s">
        <v>580</v>
      </c>
      <c r="D47" s="93" t="s">
        <v>520</v>
      </c>
      <c r="E47" s="12">
        <f>'Hazard &amp; Exposure'!O119</f>
        <v>2.6318287890110907</v>
      </c>
      <c r="F47" s="12">
        <f>'Hazard &amp; Exposure'!P119</f>
        <v>1.768546658599498</v>
      </c>
      <c r="G47" s="159">
        <f>'Hazard &amp; Exposure'!Q119</f>
        <v>2.210648111622727</v>
      </c>
      <c r="H47" s="12">
        <f>'Hazard &amp; Exposure'!W119</f>
        <v>5</v>
      </c>
      <c r="I47" s="12">
        <f>'Hazard &amp; Exposure'!T119</f>
        <v>9.6347316971429038</v>
      </c>
      <c r="J47" s="12">
        <f>'Hazard &amp; Exposure'!AA119</f>
        <v>7.3173658485714519</v>
      </c>
      <c r="K47" s="12">
        <f t="shared" si="6"/>
        <v>5.3002515069975704</v>
      </c>
      <c r="L47" s="12">
        <f>Vulnerability!J119</f>
        <v>8.0994843851435316</v>
      </c>
      <c r="M47" s="12">
        <f>Vulnerability!O119</f>
        <v>5.1324999999999994</v>
      </c>
      <c r="N47" s="12">
        <f t="shared" si="7"/>
        <v>7.1104895900956882</v>
      </c>
      <c r="O47" s="12">
        <f>Vulnerability!AA119</f>
        <v>1.773320089055912</v>
      </c>
      <c r="P47" s="12">
        <f>Vulnerability!AG119</f>
        <v>0.17511128269195098</v>
      </c>
      <c r="Q47" s="12">
        <f t="shared" si="8"/>
        <v>1.005761982307612</v>
      </c>
      <c r="R47" s="12">
        <f t="shared" si="9"/>
        <v>4.7528348351015728</v>
      </c>
      <c r="S47" s="12">
        <f>'Lack of Coping Capacity'!F119</f>
        <v>8.9376933232166333</v>
      </c>
      <c r="T47" s="12">
        <f>'Lack of Coping Capacity'!I119</f>
        <v>8.2354505062103271</v>
      </c>
      <c r="U47" s="12">
        <f>'Lack of Coping Capacity'!J119</f>
        <v>8.5865719147134811</v>
      </c>
      <c r="V47" s="12">
        <f>'Lack of Coping Capacity'!M119</f>
        <v>7.4741640376789604</v>
      </c>
      <c r="W47" s="12">
        <f>'Lack of Coping Capacity'!S119</f>
        <v>9.9237502699999993</v>
      </c>
      <c r="X47" s="12">
        <f>'Lack of Coping Capacity'!U119</f>
        <v>9.6</v>
      </c>
      <c r="Y47" s="12">
        <f>'Lack of Coping Capacity'!V119</f>
        <v>8.9993047692263204</v>
      </c>
      <c r="Z47" s="12">
        <f>'Lack of Coping Capacity'!AB119</f>
        <v>5.7536227849114523</v>
      </c>
      <c r="AA47" s="12">
        <f>'Lack of Coping Capacity'!AI119</f>
        <v>10</v>
      </c>
      <c r="AB47" s="12" t="str">
        <f>'Lack of Coping Capacity'!AE119</f>
        <v>x</v>
      </c>
      <c r="AC47" s="12">
        <f>'Lack of Coping Capacity'!AJ119</f>
        <v>7.8768113924557266</v>
      </c>
      <c r="AD47" s="12">
        <f t="shared" si="10"/>
        <v>8.527628812278703</v>
      </c>
      <c r="AE47" s="12">
        <f t="shared" si="11"/>
        <v>5.9890668812629579</v>
      </c>
    </row>
    <row r="48" spans="1:31" x14ac:dyDescent="0.25">
      <c r="A48" s="117" t="s">
        <v>560</v>
      </c>
      <c r="B48" s="115" t="s">
        <v>568</v>
      </c>
      <c r="C48" s="115" t="s">
        <v>581</v>
      </c>
      <c r="D48" s="93" t="s">
        <v>614</v>
      </c>
      <c r="E48" s="12">
        <f>'Hazard &amp; Exposure'!O146</f>
        <v>7.437692397176102</v>
      </c>
      <c r="F48" s="12">
        <f>'Hazard &amp; Exposure'!P146</f>
        <v>2.3777962255514957</v>
      </c>
      <c r="G48" s="159">
        <f>'Hazard &amp; Exposure'!Q146</f>
        <v>5.4470911309819918</v>
      </c>
      <c r="H48" s="12">
        <f>'Hazard &amp; Exposure'!W146</f>
        <v>5</v>
      </c>
      <c r="I48" s="12">
        <f>'Hazard &amp; Exposure'!T146</f>
        <v>5.1992551517796564</v>
      </c>
      <c r="J48" s="12">
        <f>'Hazard &amp; Exposure'!AA146</f>
        <v>5.0996275758898282</v>
      </c>
      <c r="K48" s="12">
        <f t="shared" si="6"/>
        <v>5.2759450591713231</v>
      </c>
      <c r="L48" s="12">
        <f>Vulnerability!J146</f>
        <v>6.9265993033459896</v>
      </c>
      <c r="M48" s="12">
        <f>Vulnerability!O146</f>
        <v>3.4817850428349879</v>
      </c>
      <c r="N48" s="12">
        <f t="shared" si="7"/>
        <v>5.7783278831756562</v>
      </c>
      <c r="O48" s="12">
        <f>Vulnerability!AA146</f>
        <v>1.9816394870987146</v>
      </c>
      <c r="P48" s="12">
        <f>Vulnerability!AG146</f>
        <v>2.5183962863371236E-2</v>
      </c>
      <c r="Q48" s="12">
        <f t="shared" si="8"/>
        <v>1.0508597561102622</v>
      </c>
      <c r="R48" s="12">
        <f t="shared" si="9"/>
        <v>3.7865538074398879</v>
      </c>
      <c r="S48" s="12">
        <f>'Lack of Coping Capacity'!F146</f>
        <v>6.4913798911920617</v>
      </c>
      <c r="T48" s="12">
        <f>'Lack of Coping Capacity'!I146</f>
        <v>6.7801740288734438</v>
      </c>
      <c r="U48" s="12">
        <f>'Lack of Coping Capacity'!J146</f>
        <v>6.6357769600327527</v>
      </c>
      <c r="V48" s="12">
        <f>'Lack of Coping Capacity'!M146</f>
        <v>6.1754654630968755</v>
      </c>
      <c r="W48" s="12">
        <f>'Lack of Coping Capacity'!S146</f>
        <v>7.7079791200596572</v>
      </c>
      <c r="X48" s="12">
        <f>'Lack of Coping Capacity'!U146</f>
        <v>6.94</v>
      </c>
      <c r="Y48" s="12">
        <f>'Lack of Coping Capacity'!V146</f>
        <v>6.9411481943855113</v>
      </c>
      <c r="Z48" s="12">
        <f>'Lack of Coping Capacity'!AB146</f>
        <v>6.1989116448528341</v>
      </c>
      <c r="AA48" s="12">
        <f>'Lack of Coping Capacity'!AI146</f>
        <v>4.6060217842026754</v>
      </c>
      <c r="AB48" s="12">
        <f>'Lack of Coping Capacity'!AE146</f>
        <v>9.7703999999999986</v>
      </c>
      <c r="AC48" s="12">
        <f>'Lack of Coping Capacity'!AJ146</f>
        <v>6.8584444763518357</v>
      </c>
      <c r="AD48" s="12">
        <f t="shared" si="10"/>
        <v>6.8137056302967398</v>
      </c>
      <c r="AE48" s="12">
        <f t="shared" si="11"/>
        <v>5.1440982479766202</v>
      </c>
    </row>
    <row r="49" spans="1:31" x14ac:dyDescent="0.25">
      <c r="A49" s="117" t="s">
        <v>560</v>
      </c>
      <c r="B49" s="115" t="s">
        <v>570</v>
      </c>
      <c r="C49" s="115" t="s">
        <v>581</v>
      </c>
      <c r="D49" s="93" t="s">
        <v>616</v>
      </c>
      <c r="E49" s="12">
        <f>'Hazard &amp; Exposure'!O148</f>
        <v>6.0718500050089395</v>
      </c>
      <c r="F49" s="12">
        <f>'Hazard &amp; Exposure'!P148</f>
        <v>2.3301489908844601</v>
      </c>
      <c r="G49" s="159">
        <f>'Hazard &amp; Exposure'!Q148</f>
        <v>4.4590767691511548</v>
      </c>
      <c r="H49" s="12">
        <f>'Hazard &amp; Exposure'!W148</f>
        <v>7</v>
      </c>
      <c r="I49" s="12">
        <f>'Hazard &amp; Exposure'!T148</f>
        <v>5.1992551517796564</v>
      </c>
      <c r="J49" s="12">
        <f>'Hazard &amp; Exposure'!AA148</f>
        <v>6.0996275758898282</v>
      </c>
      <c r="K49" s="12">
        <f t="shared" si="6"/>
        <v>5.337328938179847</v>
      </c>
      <c r="L49" s="12">
        <f>Vulnerability!J148</f>
        <v>6.5183330290652153</v>
      </c>
      <c r="M49" s="12">
        <f>Vulnerability!O148</f>
        <v>3.800592153946099</v>
      </c>
      <c r="N49" s="12">
        <f t="shared" si="7"/>
        <v>5.61241940402551</v>
      </c>
      <c r="O49" s="12">
        <f>Vulnerability!AA148</f>
        <v>6.0845039483076029</v>
      </c>
      <c r="P49" s="12">
        <f>Vulnerability!AG148</f>
        <v>2.5183962863371236E-2</v>
      </c>
      <c r="Q49" s="12">
        <f t="shared" si="8"/>
        <v>3.646219898929921</v>
      </c>
      <c r="R49" s="12">
        <f t="shared" si="9"/>
        <v>4.704307274351561</v>
      </c>
      <c r="S49" s="12">
        <f>'Lack of Coping Capacity'!F148</f>
        <v>6.4913798911920617</v>
      </c>
      <c r="T49" s="12">
        <f>'Lack of Coping Capacity'!I148</f>
        <v>6.7801740288734438</v>
      </c>
      <c r="U49" s="12">
        <f>'Lack of Coping Capacity'!J148</f>
        <v>6.6357769600327527</v>
      </c>
      <c r="V49" s="12">
        <f>'Lack of Coping Capacity'!M148</f>
        <v>6.1754654630968755</v>
      </c>
      <c r="W49" s="12">
        <f>'Lack of Coping Capacity'!S148</f>
        <v>7.7079791200596572</v>
      </c>
      <c r="X49" s="12">
        <f>'Lack of Coping Capacity'!U148</f>
        <v>6.94</v>
      </c>
      <c r="Y49" s="12">
        <f>'Lack of Coping Capacity'!V148</f>
        <v>6.9411481943855113</v>
      </c>
      <c r="Z49" s="12">
        <f>'Lack of Coping Capacity'!AB148</f>
        <v>6.1989116448528341</v>
      </c>
      <c r="AA49" s="12">
        <f>'Lack of Coping Capacity'!AI148</f>
        <v>4.6060217842026754</v>
      </c>
      <c r="AB49" s="12">
        <f>'Lack of Coping Capacity'!AE148</f>
        <v>9.7703999999999986</v>
      </c>
      <c r="AC49" s="12">
        <f>'Lack of Coping Capacity'!AJ148</f>
        <v>6.8584444763518357</v>
      </c>
      <c r="AD49" s="12">
        <f t="shared" si="10"/>
        <v>6.8137056302967398</v>
      </c>
      <c r="AE49" s="12">
        <f t="shared" si="11"/>
        <v>5.5513806300234041</v>
      </c>
    </row>
    <row r="50" spans="1:31" x14ac:dyDescent="0.25">
      <c r="A50" s="117" t="s">
        <v>560</v>
      </c>
      <c r="B50" s="115" t="s">
        <v>567</v>
      </c>
      <c r="C50" s="115" t="s">
        <v>581</v>
      </c>
      <c r="D50" s="93" t="s">
        <v>613</v>
      </c>
      <c r="E50" s="12">
        <f>'Hazard &amp; Exposure'!O145</f>
        <v>8.9790673575584741</v>
      </c>
      <c r="F50" s="12">
        <f>'Hazard &amp; Exposure'!P145</f>
        <v>4.2370660321524181</v>
      </c>
      <c r="G50" s="159">
        <f>'Hazard &amp; Exposure'!Q145</f>
        <v>7.2828262637893859</v>
      </c>
      <c r="H50" s="12">
        <f>'Hazard &amp; Exposure'!W145</f>
        <v>0</v>
      </c>
      <c r="I50" s="12">
        <f>'Hazard &amp; Exposure'!T145</f>
        <v>5.1992551517796564</v>
      </c>
      <c r="J50" s="12">
        <f>'Hazard &amp; Exposure'!AA145</f>
        <v>2.5996275758898282</v>
      </c>
      <c r="K50" s="12">
        <f t="shared" si="6"/>
        <v>5.4028378655388574</v>
      </c>
      <c r="L50" s="12">
        <f>Vulnerability!J145</f>
        <v>7.1735811185212004</v>
      </c>
      <c r="M50" s="12">
        <f>Vulnerability!O145</f>
        <v>3.9598197095016552</v>
      </c>
      <c r="N50" s="12">
        <f t="shared" si="7"/>
        <v>6.1023273155146853</v>
      </c>
      <c r="O50" s="12">
        <f>Vulnerability!AA145</f>
        <v>5.5663978646399528</v>
      </c>
      <c r="P50" s="12">
        <f>Vulnerability!AG145</f>
        <v>2.5183962863371236E-2</v>
      </c>
      <c r="Q50" s="12">
        <f t="shared" si="8"/>
        <v>3.2709397412810186</v>
      </c>
      <c r="R50" s="12">
        <f t="shared" si="9"/>
        <v>4.8445551740828625</v>
      </c>
      <c r="S50" s="12">
        <f>'Lack of Coping Capacity'!F145</f>
        <v>6.4913798911920617</v>
      </c>
      <c r="T50" s="12">
        <f>'Lack of Coping Capacity'!I145</f>
        <v>6.7801740288734438</v>
      </c>
      <c r="U50" s="12">
        <f>'Lack of Coping Capacity'!J145</f>
        <v>6.6357769600327527</v>
      </c>
      <c r="V50" s="12">
        <f>'Lack of Coping Capacity'!M145</f>
        <v>6.1754654630968755</v>
      </c>
      <c r="W50" s="12">
        <f>'Lack of Coping Capacity'!S145</f>
        <v>7.7079791200596572</v>
      </c>
      <c r="X50" s="12">
        <f>'Lack of Coping Capacity'!U145</f>
        <v>6.94</v>
      </c>
      <c r="Y50" s="12">
        <f>'Lack of Coping Capacity'!V145</f>
        <v>6.9411481943855113</v>
      </c>
      <c r="Z50" s="12">
        <f>'Lack of Coping Capacity'!AB145</f>
        <v>6.1989116448528341</v>
      </c>
      <c r="AA50" s="12">
        <f>'Lack of Coping Capacity'!AI145</f>
        <v>4.6060217842026754</v>
      </c>
      <c r="AB50" s="12">
        <f>'Lack of Coping Capacity'!AE145</f>
        <v>9.7703999999999986</v>
      </c>
      <c r="AC50" s="12">
        <f>'Lack of Coping Capacity'!AJ145</f>
        <v>6.8584444763518357</v>
      </c>
      <c r="AD50" s="12">
        <f t="shared" si="10"/>
        <v>6.8137056302967398</v>
      </c>
      <c r="AE50" s="12">
        <f t="shared" si="11"/>
        <v>5.628850784910826</v>
      </c>
    </row>
    <row r="51" spans="1:31" x14ac:dyDescent="0.25">
      <c r="A51" s="117" t="s">
        <v>467</v>
      </c>
      <c r="B51" s="115" t="s">
        <v>494</v>
      </c>
      <c r="C51" s="115" t="s">
        <v>578</v>
      </c>
      <c r="D51" s="93" t="s">
        <v>495</v>
      </c>
      <c r="E51" s="12">
        <f>'Hazard &amp; Exposure'!O107</f>
        <v>0</v>
      </c>
      <c r="F51" s="12">
        <f>'Hazard &amp; Exposure'!P107</f>
        <v>6.0898031817922504</v>
      </c>
      <c r="G51" s="159">
        <f>'Hazard &amp; Exposure'!Q107</f>
        <v>3.6416860779666504</v>
      </c>
      <c r="H51" s="12">
        <f>'Hazard &amp; Exposure'!W107</f>
        <v>5</v>
      </c>
      <c r="I51" s="12">
        <f>'Hazard &amp; Exposure'!T107</f>
        <v>9.4963814816019507</v>
      </c>
      <c r="J51" s="12">
        <f>'Hazard &amp; Exposure'!AA107</f>
        <v>7.2481907408009754</v>
      </c>
      <c r="K51" s="12">
        <f t="shared" si="6"/>
        <v>5.7395383325816987</v>
      </c>
      <c r="L51" s="12">
        <f>Vulnerability!J107</f>
        <v>8.8930594691469853</v>
      </c>
      <c r="M51" s="12">
        <f>Vulnerability!O107</f>
        <v>10</v>
      </c>
      <c r="N51" s="12">
        <f t="shared" si="7"/>
        <v>9.2620396460979908</v>
      </c>
      <c r="O51" s="12">
        <f>Vulnerability!AA107</f>
        <v>3.1927602160512651</v>
      </c>
      <c r="P51" s="12">
        <f>Vulnerability!AG107</f>
        <v>5.2378513284411188</v>
      </c>
      <c r="Q51" s="12">
        <f t="shared" si="8"/>
        <v>4.2915413404420022</v>
      </c>
      <c r="R51" s="12">
        <f t="shared" si="9"/>
        <v>7.5600729718326374</v>
      </c>
      <c r="S51" s="12">
        <f>'Lack of Coping Capacity'!F107</f>
        <v>5.7696490037761592</v>
      </c>
      <c r="T51" s="12">
        <f>'Lack of Coping Capacity'!I107</f>
        <v>9.307685232162477</v>
      </c>
      <c r="U51" s="12">
        <f>'Lack of Coping Capacity'!J107</f>
        <v>7.5386671179693181</v>
      </c>
      <c r="V51" s="12">
        <f>'Lack of Coping Capacity'!M107</f>
        <v>7.3808660795689001</v>
      </c>
      <c r="W51" s="12">
        <f>'Lack of Coping Capacity'!S107</f>
        <v>9.7328859083892603</v>
      </c>
      <c r="X51" s="12">
        <f>'Lack of Coping Capacity'!U107</f>
        <v>8.5136604607862196</v>
      </c>
      <c r="Y51" s="12">
        <f>'Lack of Coping Capacity'!V107</f>
        <v>8.5424708162481267</v>
      </c>
      <c r="Z51" s="12">
        <f>'Lack of Coping Capacity'!AB107</f>
        <v>8.6335737116273936</v>
      </c>
      <c r="AA51" s="12">
        <f>'Lack of Coping Capacity'!AI107</f>
        <v>4.5195373333333331</v>
      </c>
      <c r="AB51" s="12" t="str">
        <f>'Lack of Coping Capacity'!AE107</f>
        <v>x</v>
      </c>
      <c r="AC51" s="12">
        <f>'Lack of Coping Capacity'!AJ107</f>
        <v>6.5765555224803638</v>
      </c>
      <c r="AD51" s="12">
        <f t="shared" si="10"/>
        <v>7.6458618194361119</v>
      </c>
      <c r="AE51" s="12">
        <f t="shared" si="11"/>
        <v>6.9227151878501161</v>
      </c>
    </row>
    <row r="52" spans="1:31" x14ac:dyDescent="0.25">
      <c r="A52" s="117" t="s">
        <v>362</v>
      </c>
      <c r="B52" s="115" t="s">
        <v>362</v>
      </c>
      <c r="C52" s="115" t="s">
        <v>573</v>
      </c>
      <c r="D52" s="93" t="s">
        <v>367</v>
      </c>
      <c r="E52" s="12">
        <f>'Hazard &amp; Exposure'!O22</f>
        <v>8.8736347000604603</v>
      </c>
      <c r="F52" s="12">
        <f>'Hazard &amp; Exposure'!P22</f>
        <v>6.5941074672326287</v>
      </c>
      <c r="G52" s="159">
        <f>'Hazard &amp; Exposure'!Q22</f>
        <v>7.9320091778903565</v>
      </c>
      <c r="H52" s="12">
        <f>'Hazard &amp; Exposure'!W22</f>
        <v>0</v>
      </c>
      <c r="I52" s="12">
        <f>'Hazard &amp; Exposure'!T22</f>
        <v>0.59937129227970432</v>
      </c>
      <c r="J52" s="12">
        <f>'Hazard &amp; Exposure'!AA22</f>
        <v>0.29968564613985216</v>
      </c>
      <c r="K52" s="12">
        <f t="shared" si="6"/>
        <v>5.2484646441507996</v>
      </c>
      <c r="L52" s="12">
        <f>Vulnerability!J22</f>
        <v>5.3419217426636179</v>
      </c>
      <c r="M52" s="12">
        <f>Vulnerability!O22</f>
        <v>3.1935019999999996</v>
      </c>
      <c r="N52" s="12">
        <f t="shared" si="7"/>
        <v>4.6257818284424124</v>
      </c>
      <c r="O52" s="12">
        <f>Vulnerability!AA22</f>
        <v>0</v>
      </c>
      <c r="P52" s="12">
        <f>Vulnerability!AG22</f>
        <v>7.5974692664795773</v>
      </c>
      <c r="Q52" s="12">
        <f t="shared" si="8"/>
        <v>4.8628741645516751</v>
      </c>
      <c r="R52" s="12">
        <f t="shared" si="9"/>
        <v>4.7454317259571308</v>
      </c>
      <c r="S52" s="12">
        <f>'Lack of Coping Capacity'!F22</f>
        <v>0</v>
      </c>
      <c r="T52" s="12">
        <f>'Lack of Coping Capacity'!I22</f>
        <v>6.9845608949661262</v>
      </c>
      <c r="U52" s="12">
        <f>'Lack of Coping Capacity'!J22</f>
        <v>3.4922804474830631</v>
      </c>
      <c r="V52" s="12">
        <f>'Lack of Coping Capacity'!M22</f>
        <v>7.6517066621455054</v>
      </c>
      <c r="W52" s="12">
        <f>'Lack of Coping Capacity'!S22</f>
        <v>6.3457680825130502</v>
      </c>
      <c r="X52" s="12" t="str">
        <f>'Lack of Coping Capacity'!U22</f>
        <v>x</v>
      </c>
      <c r="Y52" s="12">
        <f>'Lack of Coping Capacity'!V22</f>
        <v>6.9987373723292778</v>
      </c>
      <c r="Z52" s="12">
        <f>'Lack of Coping Capacity'!AB22</f>
        <v>7.8046679854427206</v>
      </c>
      <c r="AA52" s="12">
        <f>'Lack of Coping Capacity'!AI22</f>
        <v>5.4606352685884971</v>
      </c>
      <c r="AB52" s="12">
        <f>'Lack of Coping Capacity'!AE22</f>
        <v>9.4471999999999987</v>
      </c>
      <c r="AC52" s="12">
        <f>'Lack of Coping Capacity'!AJ22</f>
        <v>7.5708344180104055</v>
      </c>
      <c r="AD52" s="12">
        <f t="shared" si="10"/>
        <v>6.3063400251034896</v>
      </c>
      <c r="AE52" s="12">
        <f t="shared" si="11"/>
        <v>5.3954598226682826</v>
      </c>
    </row>
    <row r="53" spans="1:31" x14ac:dyDescent="0.25">
      <c r="A53" s="117" t="s">
        <v>560</v>
      </c>
      <c r="B53" s="115" t="s">
        <v>565</v>
      </c>
      <c r="C53" s="115" t="s">
        <v>581</v>
      </c>
      <c r="D53" s="93" t="s">
        <v>611</v>
      </c>
      <c r="E53" s="12">
        <f>'Hazard &amp; Exposure'!O143</f>
        <v>8.9290185419460872</v>
      </c>
      <c r="F53" s="12">
        <f>'Hazard &amp; Exposure'!P143</f>
        <v>0</v>
      </c>
      <c r="G53" s="159">
        <f>'Hazard &amp; Exposure'!Q143</f>
        <v>6.1871418798178768</v>
      </c>
      <c r="H53" s="12">
        <f>'Hazard &amp; Exposure'!W143</f>
        <v>5</v>
      </c>
      <c r="I53" s="12">
        <f>'Hazard &amp; Exposure'!T143</f>
        <v>5.1992551517796564</v>
      </c>
      <c r="J53" s="12">
        <f>'Hazard &amp; Exposure'!AA143</f>
        <v>5.0996275758898282</v>
      </c>
      <c r="K53" s="12">
        <f t="shared" si="6"/>
        <v>5.6704898265650634</v>
      </c>
      <c r="L53" s="12">
        <f>Vulnerability!J143</f>
        <v>4.8820981311396165</v>
      </c>
      <c r="M53" s="12">
        <f>Vulnerability!O143</f>
        <v>2.6258757095016549</v>
      </c>
      <c r="N53" s="12">
        <f t="shared" si="7"/>
        <v>4.1300239905936289</v>
      </c>
      <c r="O53" s="12">
        <f>Vulnerability!AA143</f>
        <v>5.4122740464713104</v>
      </c>
      <c r="P53" s="12">
        <f>Vulnerability!AG143</f>
        <v>2.5183962863371236E-2</v>
      </c>
      <c r="Q53" s="12">
        <f t="shared" si="8"/>
        <v>3.1627218070866259</v>
      </c>
      <c r="R53" s="12">
        <f t="shared" si="9"/>
        <v>3.6620576008197365</v>
      </c>
      <c r="S53" s="12">
        <f>'Lack of Coping Capacity'!F143</f>
        <v>6.4913798911920617</v>
      </c>
      <c r="T53" s="12">
        <f>'Lack of Coping Capacity'!I143</f>
        <v>6.7801740288734438</v>
      </c>
      <c r="U53" s="12">
        <f>'Lack of Coping Capacity'!J143</f>
        <v>6.6357769600327527</v>
      </c>
      <c r="V53" s="12">
        <f>'Lack of Coping Capacity'!M143</f>
        <v>6.1754654630968755</v>
      </c>
      <c r="W53" s="12">
        <f>'Lack of Coping Capacity'!S143</f>
        <v>7.7079791200596572</v>
      </c>
      <c r="X53" s="12">
        <f>'Lack of Coping Capacity'!U143</f>
        <v>6.94</v>
      </c>
      <c r="Y53" s="12">
        <f>'Lack of Coping Capacity'!V143</f>
        <v>6.9411481943855113</v>
      </c>
      <c r="Z53" s="12">
        <f>'Lack of Coping Capacity'!AB143</f>
        <v>6.1989116448528341</v>
      </c>
      <c r="AA53" s="12">
        <f>'Lack of Coping Capacity'!AI143</f>
        <v>4.6060217842026754</v>
      </c>
      <c r="AB53" s="12">
        <f>'Lack of Coping Capacity'!AE143</f>
        <v>9.7703999999999986</v>
      </c>
      <c r="AC53" s="12">
        <f>'Lack of Coping Capacity'!AJ143</f>
        <v>6.8584444763518357</v>
      </c>
      <c r="AD53" s="12">
        <f t="shared" si="10"/>
        <v>6.8137056302967398</v>
      </c>
      <c r="AE53" s="12">
        <f t="shared" si="11"/>
        <v>5.2108635924661275</v>
      </c>
    </row>
    <row r="54" spans="1:31" x14ac:dyDescent="0.25">
      <c r="A54" s="117" t="s">
        <v>467</v>
      </c>
      <c r="B54" s="115" t="s">
        <v>496</v>
      </c>
      <c r="C54" s="115" t="s">
        <v>578</v>
      </c>
      <c r="D54" s="93" t="s">
        <v>497</v>
      </c>
      <c r="E54" s="12">
        <f>'Hazard &amp; Exposure'!O108</f>
        <v>0</v>
      </c>
      <c r="F54" s="12">
        <f>'Hazard &amp; Exposure'!P108</f>
        <v>6.3863019344560312</v>
      </c>
      <c r="G54" s="159">
        <f>'Hazard &amp; Exposure'!Q108</f>
        <v>3.8655690512917089</v>
      </c>
      <c r="H54" s="12">
        <f>'Hazard &amp; Exposure'!W108</f>
        <v>5</v>
      </c>
      <c r="I54" s="12">
        <f>'Hazard &amp; Exposure'!T108</f>
        <v>9.4963814816019507</v>
      </c>
      <c r="J54" s="12">
        <f>'Hazard &amp; Exposure'!AA108</f>
        <v>7.2481907408009754</v>
      </c>
      <c r="K54" s="12">
        <f t="shared" si="6"/>
        <v>5.8206525282645138</v>
      </c>
      <c r="L54" s="12">
        <f>Vulnerability!J108</f>
        <v>8.8930594691469853</v>
      </c>
      <c r="M54" s="12">
        <f>Vulnerability!O108</f>
        <v>10</v>
      </c>
      <c r="N54" s="12">
        <f t="shared" si="7"/>
        <v>9.2620396460979908</v>
      </c>
      <c r="O54" s="12">
        <f>Vulnerability!AA108</f>
        <v>0.93682897333814497</v>
      </c>
      <c r="P54" s="12">
        <f>Vulnerability!AG108</f>
        <v>4.7600811907249998</v>
      </c>
      <c r="Q54" s="12">
        <f t="shared" si="8"/>
        <v>3.0726305161574796</v>
      </c>
      <c r="R54" s="12">
        <f t="shared" si="9"/>
        <v>7.2557609207664715</v>
      </c>
      <c r="S54" s="12">
        <f>'Lack of Coping Capacity'!F108</f>
        <v>5.7696490037761592</v>
      </c>
      <c r="T54" s="12">
        <f>'Lack of Coping Capacity'!I108</f>
        <v>9.307685232162477</v>
      </c>
      <c r="U54" s="12">
        <f>'Lack of Coping Capacity'!J108</f>
        <v>7.5386671179693181</v>
      </c>
      <c r="V54" s="12">
        <f>'Lack of Coping Capacity'!M108</f>
        <v>7.3808660795689001</v>
      </c>
      <c r="W54" s="12">
        <f>'Lack of Coping Capacity'!S108</f>
        <v>9.7328859083892603</v>
      </c>
      <c r="X54" s="12">
        <f>'Lack of Coping Capacity'!U108</f>
        <v>8.5136604607862196</v>
      </c>
      <c r="Y54" s="12">
        <f>'Lack of Coping Capacity'!V108</f>
        <v>8.5424708162481267</v>
      </c>
      <c r="Z54" s="12">
        <f>'Lack of Coping Capacity'!AB108</f>
        <v>8.6335737116273936</v>
      </c>
      <c r="AA54" s="12">
        <f>'Lack of Coping Capacity'!AI108</f>
        <v>4.5195373333333331</v>
      </c>
      <c r="AB54" s="12" t="str">
        <f>'Lack of Coping Capacity'!AE108</f>
        <v>x</v>
      </c>
      <c r="AC54" s="12">
        <f>'Lack of Coping Capacity'!AJ108</f>
        <v>6.5765555224803638</v>
      </c>
      <c r="AD54" s="12">
        <f t="shared" si="10"/>
        <v>7.6458618194361119</v>
      </c>
      <c r="AE54" s="12">
        <f t="shared" si="11"/>
        <v>6.8605725467742742</v>
      </c>
    </row>
    <row r="55" spans="1:31" x14ac:dyDescent="0.25">
      <c r="A55" s="117" t="s">
        <v>525</v>
      </c>
      <c r="B55" s="115" t="s">
        <v>548</v>
      </c>
      <c r="C55" s="115" t="s">
        <v>579</v>
      </c>
      <c r="D55" s="93" t="s">
        <v>549</v>
      </c>
      <c r="E55" s="12">
        <f>'Hazard &amp; Exposure'!O133</f>
        <v>9.0248447793285074</v>
      </c>
      <c r="F55" s="12">
        <f>'Hazard &amp; Exposure'!P133</f>
        <v>0</v>
      </c>
      <c r="G55" s="159">
        <f>'Hazard &amp; Exposure'!Q133</f>
        <v>6.296473324132041</v>
      </c>
      <c r="H55" s="12">
        <f>'Hazard &amp; Exposure'!W133</f>
        <v>0</v>
      </c>
      <c r="I55" s="12">
        <f>'Hazard &amp; Exposure'!T133</f>
        <v>10</v>
      </c>
      <c r="J55" s="12">
        <f>'Hazard &amp; Exposure'!AA133</f>
        <v>5</v>
      </c>
      <c r="K55" s="12">
        <f t="shared" si="6"/>
        <v>5.6868336038311584</v>
      </c>
      <c r="L55" s="12">
        <f>Vulnerability!J133</f>
        <v>5.4164634182613591</v>
      </c>
      <c r="M55" s="12">
        <f>Vulnerability!O133</f>
        <v>5.472427492671776</v>
      </c>
      <c r="N55" s="12">
        <f t="shared" si="7"/>
        <v>5.4351181097314978</v>
      </c>
      <c r="O55" s="12">
        <f>Vulnerability!AA133</f>
        <v>0</v>
      </c>
      <c r="P55" s="12">
        <f>Vulnerability!AG133</f>
        <v>1.3074067872768502</v>
      </c>
      <c r="Q55" s="12">
        <f t="shared" si="8"/>
        <v>0.67415523103750985</v>
      </c>
      <c r="R55" s="12">
        <f t="shared" si="9"/>
        <v>3.4143527979635846</v>
      </c>
      <c r="S55" s="12">
        <f>'Lack of Coping Capacity'!F133</f>
        <v>9.0741303159868121</v>
      </c>
      <c r="T55" s="12">
        <f>'Lack of Coping Capacity'!I133</f>
        <v>8.4814011573791497</v>
      </c>
      <c r="U55" s="12">
        <f>'Lack of Coping Capacity'!J133</f>
        <v>8.77776573668298</v>
      </c>
      <c r="V55" s="12">
        <f>'Lack of Coping Capacity'!M133</f>
        <v>4.0873843546619799</v>
      </c>
      <c r="W55" s="12">
        <f>'Lack of Coping Capacity'!S133</f>
        <v>6.9611111111111104</v>
      </c>
      <c r="X55" s="12">
        <f>'Lack of Coping Capacity'!U133</f>
        <v>7.313265781810947</v>
      </c>
      <c r="Y55" s="12">
        <f>'Lack of Coping Capacity'!V133</f>
        <v>6.1205870825280124</v>
      </c>
      <c r="Z55" s="12">
        <f>'Lack of Coping Capacity'!AB133</f>
        <v>8.3770804987890024</v>
      </c>
      <c r="AA55" s="12">
        <f>'Lack of Coping Capacity'!AI133</f>
        <v>5.1365251441479209</v>
      </c>
      <c r="AB55" s="12">
        <f>'Lack of Coping Capacity'!AE133</f>
        <v>9.69</v>
      </c>
      <c r="AC55" s="12">
        <f>'Lack of Coping Capacity'!AJ133</f>
        <v>7.7345352143123085</v>
      </c>
      <c r="AD55" s="12">
        <f t="shared" si="10"/>
        <v>7.7106806509985324</v>
      </c>
      <c r="AE55" s="12">
        <f t="shared" si="11"/>
        <v>5.3099513712120032</v>
      </c>
    </row>
    <row r="56" spans="1:31" x14ac:dyDescent="0.25">
      <c r="A56" s="117" t="s">
        <v>408</v>
      </c>
      <c r="B56" s="115" t="s">
        <v>438</v>
      </c>
      <c r="C56" s="115" t="s">
        <v>576</v>
      </c>
      <c r="D56" s="93" t="s">
        <v>663</v>
      </c>
      <c r="E56" s="12">
        <f>'Hazard &amp; Exposure'!O71</f>
        <v>3.7516813341993682</v>
      </c>
      <c r="F56" s="12">
        <f>'Hazard &amp; Exposure'!P71</f>
        <v>0.83803644346099271</v>
      </c>
      <c r="G56" s="159">
        <f>'Hazard &amp; Exposure'!Q71</f>
        <v>2.4160566771502752</v>
      </c>
      <c r="H56" s="12">
        <f>'Hazard &amp; Exposure'!W71</f>
        <v>7</v>
      </c>
      <c r="I56" s="12">
        <f>'Hazard &amp; Exposure'!T71</f>
        <v>8.3825408014047689</v>
      </c>
      <c r="J56" s="12">
        <f>'Hazard &amp; Exposure'!AA71</f>
        <v>7.6912704007023844</v>
      </c>
      <c r="K56" s="12">
        <f t="shared" si="6"/>
        <v>5.6580659863684986</v>
      </c>
      <c r="L56" s="12">
        <f>Vulnerability!J71</f>
        <v>2.8053151343718872</v>
      </c>
      <c r="M56" s="12">
        <f>Vulnerability!O71</f>
        <v>3.7219048888888895</v>
      </c>
      <c r="N56" s="12">
        <f t="shared" si="7"/>
        <v>3.1108450525442213</v>
      </c>
      <c r="O56" s="12">
        <f>Vulnerability!AA71</f>
        <v>6.5166251477611254</v>
      </c>
      <c r="P56" s="12">
        <f>Vulnerability!AG71</f>
        <v>1.2711042119543197</v>
      </c>
      <c r="Q56" s="12">
        <f t="shared" si="8"/>
        <v>4.387289758826169</v>
      </c>
      <c r="R56" s="12">
        <f t="shared" si="9"/>
        <v>3.7767836198851739</v>
      </c>
      <c r="S56" s="12">
        <f>'Lack of Coping Capacity'!F71</f>
        <v>8.0745683600492235</v>
      </c>
      <c r="T56" s="12">
        <f>'Lack of Coping Capacity'!I71</f>
        <v>6.7364291846752167</v>
      </c>
      <c r="U56" s="12">
        <f>'Lack of Coping Capacity'!J71</f>
        <v>7.4054987723622201</v>
      </c>
      <c r="V56" s="12">
        <f>'Lack of Coping Capacity'!M71</f>
        <v>2.5117977238917955</v>
      </c>
      <c r="W56" s="12">
        <f>'Lack of Coping Capacity'!S71</f>
        <v>7.4126894605420075</v>
      </c>
      <c r="X56" s="12">
        <f>'Lack of Coping Capacity'!U71</f>
        <v>9.8647237723687979</v>
      </c>
      <c r="Y56" s="12">
        <f>'Lack of Coping Capacity'!V71</f>
        <v>6.5964036522675329</v>
      </c>
      <c r="Z56" s="12">
        <f>'Lack of Coping Capacity'!AB71</f>
        <v>7.7216164848659146</v>
      </c>
      <c r="AA56" s="12">
        <f>'Lack of Coping Capacity'!AI71</f>
        <v>1.726022765340498</v>
      </c>
      <c r="AB56" s="12">
        <f>'Lack of Coping Capacity'!AE71</f>
        <v>8.6456</v>
      </c>
      <c r="AC56" s="12">
        <f>'Lack of Coping Capacity'!AJ71</f>
        <v>6.0310797500688045</v>
      </c>
      <c r="AD56" s="12">
        <f t="shared" si="10"/>
        <v>6.7144938170764039</v>
      </c>
      <c r="AE56" s="12">
        <f t="shared" si="11"/>
        <v>5.2352142934330903</v>
      </c>
    </row>
    <row r="57" spans="1:31" x14ac:dyDescent="0.25">
      <c r="A57" s="117" t="s">
        <v>408</v>
      </c>
      <c r="B57" s="115" t="s">
        <v>434</v>
      </c>
      <c r="C57" s="115" t="s">
        <v>576</v>
      </c>
      <c r="D57" s="93" t="s">
        <v>659</v>
      </c>
      <c r="E57" s="12">
        <f>'Hazard &amp; Exposure'!O67</f>
        <v>2.3769821770193822</v>
      </c>
      <c r="F57" s="12">
        <f>'Hazard &amp; Exposure'!P67</f>
        <v>6.9093946672978106</v>
      </c>
      <c r="G57" s="159">
        <f>'Hazard &amp; Exposure'!Q67</f>
        <v>5.0531961922005832</v>
      </c>
      <c r="H57" s="12">
        <f>'Hazard &amp; Exposure'!W67</f>
        <v>5</v>
      </c>
      <c r="I57" s="12">
        <f>'Hazard &amp; Exposure'!T67</f>
        <v>8.3825408014047689</v>
      </c>
      <c r="J57" s="12">
        <f>'Hazard &amp; Exposure'!AA67</f>
        <v>6.6912704007023844</v>
      </c>
      <c r="K57" s="12">
        <f t="shared" si="6"/>
        <v>5.9366527840209082</v>
      </c>
      <c r="L57" s="12">
        <f>Vulnerability!J67</f>
        <v>5.2241813858533481</v>
      </c>
      <c r="M57" s="12">
        <f>Vulnerability!O67</f>
        <v>4.2842555555555553</v>
      </c>
      <c r="N57" s="12">
        <f t="shared" si="7"/>
        <v>4.9108727757540835</v>
      </c>
      <c r="O57" s="12">
        <f>Vulnerability!AA67</f>
        <v>3.5608964337867768</v>
      </c>
      <c r="P57" s="12">
        <f>Vulnerability!AG67</f>
        <v>2.2522281740990655</v>
      </c>
      <c r="Q57" s="12">
        <f t="shared" si="8"/>
        <v>2.9326963517750175</v>
      </c>
      <c r="R57" s="12">
        <f t="shared" si="9"/>
        <v>3.9901476430623282</v>
      </c>
      <c r="S57" s="12">
        <f>'Lack of Coping Capacity'!F67</f>
        <v>8.0745683600492235</v>
      </c>
      <c r="T57" s="12">
        <f>'Lack of Coping Capacity'!I67</f>
        <v>6.7364291846752167</v>
      </c>
      <c r="U57" s="12">
        <f>'Lack of Coping Capacity'!J67</f>
        <v>7.4054987723622201</v>
      </c>
      <c r="V57" s="12">
        <f>'Lack of Coping Capacity'!M67</f>
        <v>2.5117977238917955</v>
      </c>
      <c r="W57" s="12">
        <f>'Lack of Coping Capacity'!S67</f>
        <v>7.4126894605420075</v>
      </c>
      <c r="X57" s="12">
        <f>'Lack of Coping Capacity'!U67</f>
        <v>9.8647237723687979</v>
      </c>
      <c r="Y57" s="12">
        <f>'Lack of Coping Capacity'!V67</f>
        <v>6.5964036522675329</v>
      </c>
      <c r="Z57" s="12">
        <f>'Lack of Coping Capacity'!AB67</f>
        <v>7.7216164848659146</v>
      </c>
      <c r="AA57" s="12">
        <f>'Lack of Coping Capacity'!AI67</f>
        <v>1.726022765340498</v>
      </c>
      <c r="AB57" s="12">
        <f>'Lack of Coping Capacity'!AE67</f>
        <v>8.6456</v>
      </c>
      <c r="AC57" s="12">
        <f>'Lack of Coping Capacity'!AJ67</f>
        <v>6.0310797500688045</v>
      </c>
      <c r="AD57" s="12">
        <f t="shared" si="10"/>
        <v>6.7144938170764039</v>
      </c>
      <c r="AE57" s="12">
        <f t="shared" si="11"/>
        <v>5.4181118266549726</v>
      </c>
    </row>
    <row r="58" spans="1:31" x14ac:dyDescent="0.25">
      <c r="A58" s="117" t="s">
        <v>408</v>
      </c>
      <c r="B58" s="115" t="s">
        <v>424</v>
      </c>
      <c r="C58" s="115" t="s">
        <v>576</v>
      </c>
      <c r="D58" s="93" t="s">
        <v>649</v>
      </c>
      <c r="E58" s="12">
        <f>'Hazard &amp; Exposure'!O57</f>
        <v>6.939766728155222</v>
      </c>
      <c r="F58" s="12">
        <f>'Hazard &amp; Exposure'!P57</f>
        <v>2.2371633277908485</v>
      </c>
      <c r="G58" s="159">
        <f>'Hazard &amp; Exposure'!Q57</f>
        <v>5.0270095142772089</v>
      </c>
      <c r="H58" s="12">
        <f>'Hazard &amp; Exposure'!W57</f>
        <v>0</v>
      </c>
      <c r="I58" s="12">
        <f>'Hazard &amp; Exposure'!T57</f>
        <v>8.3825408014047689</v>
      </c>
      <c r="J58" s="12">
        <f>'Hazard &amp; Exposure'!AA57</f>
        <v>4.1912704007023844</v>
      </c>
      <c r="K58" s="12">
        <f t="shared" si="6"/>
        <v>4.6225817002173004</v>
      </c>
      <c r="L58" s="12">
        <f>Vulnerability!J57</f>
        <v>5.5268697181761759</v>
      </c>
      <c r="M58" s="12">
        <f>Vulnerability!O57</f>
        <v>4.6528826666666658</v>
      </c>
      <c r="N58" s="12">
        <f t="shared" si="7"/>
        <v>5.2355407010063395</v>
      </c>
      <c r="O58" s="12">
        <f>Vulnerability!AA57</f>
        <v>3.5608964337867768</v>
      </c>
      <c r="P58" s="12">
        <f>Vulnerability!AG57</f>
        <v>1.2711042119543197</v>
      </c>
      <c r="Q58" s="12">
        <f t="shared" si="8"/>
        <v>2.4917048371856083</v>
      </c>
      <c r="R58" s="12">
        <f t="shared" si="9"/>
        <v>3.9946563437604383</v>
      </c>
      <c r="S58" s="12">
        <f>'Lack of Coping Capacity'!F57</f>
        <v>8.0745683600492235</v>
      </c>
      <c r="T58" s="12">
        <f>'Lack of Coping Capacity'!I57</f>
        <v>6.7364291846752167</v>
      </c>
      <c r="U58" s="12">
        <f>'Lack of Coping Capacity'!J57</f>
        <v>7.4054987723622201</v>
      </c>
      <c r="V58" s="12">
        <f>'Lack of Coping Capacity'!M57</f>
        <v>2.5117977238917955</v>
      </c>
      <c r="W58" s="12">
        <f>'Lack of Coping Capacity'!S57</f>
        <v>7.4126894605420075</v>
      </c>
      <c r="X58" s="12">
        <f>'Lack of Coping Capacity'!U57</f>
        <v>9.8647237723687979</v>
      </c>
      <c r="Y58" s="12">
        <f>'Lack of Coping Capacity'!V57</f>
        <v>6.5964036522675329</v>
      </c>
      <c r="Z58" s="12">
        <f>'Lack of Coping Capacity'!AB57</f>
        <v>7.7216164848659146</v>
      </c>
      <c r="AA58" s="12">
        <f>'Lack of Coping Capacity'!AI57</f>
        <v>1.726022765340498</v>
      </c>
      <c r="AB58" s="12">
        <f>'Lack of Coping Capacity'!AE57</f>
        <v>8.6456</v>
      </c>
      <c r="AC58" s="12">
        <f>'Lack of Coping Capacity'!AJ57</f>
        <v>6.0310797500688045</v>
      </c>
      <c r="AD58" s="12">
        <f t="shared" si="10"/>
        <v>6.7144938170764039</v>
      </c>
      <c r="AE58" s="12">
        <f t="shared" si="11"/>
        <v>4.986461065805333</v>
      </c>
    </row>
    <row r="59" spans="1:31" x14ac:dyDescent="0.25">
      <c r="A59" s="117" t="s">
        <v>525</v>
      </c>
      <c r="B59" s="115" t="s">
        <v>550</v>
      </c>
      <c r="C59" s="115" t="s">
        <v>579</v>
      </c>
      <c r="D59" s="93" t="s">
        <v>551</v>
      </c>
      <c r="E59" s="12">
        <f>'Hazard &amp; Exposure'!O134</f>
        <v>8.9993934225745189</v>
      </c>
      <c r="F59" s="12">
        <f>'Hazard &amp; Exposure'!P134</f>
        <v>0.6177863597222929</v>
      </c>
      <c r="G59" s="159">
        <f>'Hazard &amp; Exposure'!Q134</f>
        <v>6.4037828360630868</v>
      </c>
      <c r="H59" s="12">
        <f>'Hazard &amp; Exposure'!W134</f>
        <v>0</v>
      </c>
      <c r="I59" s="12">
        <f>'Hazard &amp; Exposure'!T134</f>
        <v>10</v>
      </c>
      <c r="J59" s="12">
        <f>'Hazard &amp; Exposure'!AA134</f>
        <v>5</v>
      </c>
      <c r="K59" s="12">
        <f t="shared" si="6"/>
        <v>5.7476228688108186</v>
      </c>
      <c r="L59" s="12">
        <f>Vulnerability!J134</f>
        <v>5.5438691291374562</v>
      </c>
      <c r="M59" s="12">
        <f>Vulnerability!O134</f>
        <v>5.472427492671776</v>
      </c>
      <c r="N59" s="12">
        <f t="shared" si="7"/>
        <v>5.5200552503155622</v>
      </c>
      <c r="O59" s="12">
        <f>Vulnerability!AA134</f>
        <v>2.6991742760218838</v>
      </c>
      <c r="P59" s="12">
        <f>Vulnerability!AG134</f>
        <v>2.8167515464155901</v>
      </c>
      <c r="Q59" s="12">
        <f t="shared" si="8"/>
        <v>2.7581697880957927</v>
      </c>
      <c r="R59" s="12">
        <f t="shared" si="9"/>
        <v>4.2772424015933366</v>
      </c>
      <c r="S59" s="12">
        <f>'Lack of Coping Capacity'!F134</f>
        <v>9.0741303159868121</v>
      </c>
      <c r="T59" s="12">
        <f>'Lack of Coping Capacity'!I134</f>
        <v>8.4814011573791497</v>
      </c>
      <c r="U59" s="12">
        <f>'Lack of Coping Capacity'!J134</f>
        <v>8.77776573668298</v>
      </c>
      <c r="V59" s="12">
        <f>'Lack of Coping Capacity'!M134</f>
        <v>4.0873843546619799</v>
      </c>
      <c r="W59" s="12">
        <f>'Lack of Coping Capacity'!S134</f>
        <v>6.9611111111111104</v>
      </c>
      <c r="X59" s="12">
        <f>'Lack of Coping Capacity'!U134</f>
        <v>7.313265781810947</v>
      </c>
      <c r="Y59" s="12">
        <f>'Lack of Coping Capacity'!V134</f>
        <v>6.1205870825280124</v>
      </c>
      <c r="Z59" s="12">
        <f>'Lack of Coping Capacity'!AB134</f>
        <v>8.3770804987890024</v>
      </c>
      <c r="AA59" s="12">
        <f>'Lack of Coping Capacity'!AI134</f>
        <v>5.1365251441479209</v>
      </c>
      <c r="AB59" s="12">
        <f>'Lack of Coping Capacity'!AE134</f>
        <v>9.69</v>
      </c>
      <c r="AC59" s="12">
        <f>'Lack of Coping Capacity'!AJ134</f>
        <v>7.7345352143123085</v>
      </c>
      <c r="AD59" s="12">
        <f t="shared" si="10"/>
        <v>7.7106806509985324</v>
      </c>
      <c r="AE59" s="12">
        <f t="shared" si="11"/>
        <v>5.7444477210525768</v>
      </c>
    </row>
    <row r="60" spans="1:31" x14ac:dyDescent="0.25">
      <c r="A60" s="117" t="s">
        <v>385</v>
      </c>
      <c r="B60" s="115" t="s">
        <v>406</v>
      </c>
      <c r="C60" s="115" t="s">
        <v>575</v>
      </c>
      <c r="D60" s="93" t="s">
        <v>407</v>
      </c>
      <c r="E60" s="12">
        <f>'Hazard &amp; Exposure'!O41</f>
        <v>3.7976600852609161</v>
      </c>
      <c r="F60" s="12">
        <f>'Hazard &amp; Exposure'!P41</f>
        <v>6.9724441111946769</v>
      </c>
      <c r="G60" s="159">
        <f>'Hazard &amp; Exposure'!Q41</f>
        <v>5.609480587694331</v>
      </c>
      <c r="H60" s="12">
        <f>'Hazard &amp; Exposure'!W41</f>
        <v>5</v>
      </c>
      <c r="I60" s="12">
        <f>'Hazard &amp; Exposure'!T41</f>
        <v>8.067210585702945</v>
      </c>
      <c r="J60" s="12">
        <f>'Hazard &amp; Exposure'!AA41</f>
        <v>6.5336052928514725</v>
      </c>
      <c r="K60" s="12">
        <f t="shared" si="6"/>
        <v>6.0927701770119613</v>
      </c>
      <c r="L60" s="12">
        <f>Vulnerability!J41</f>
        <v>8.4893465332127835</v>
      </c>
      <c r="M60" s="12">
        <f>Vulnerability!O41</f>
        <v>3.0954200000000003</v>
      </c>
      <c r="N60" s="12">
        <f t="shared" si="7"/>
        <v>6.6913710221418556</v>
      </c>
      <c r="O60" s="12">
        <f>Vulnerability!AA41</f>
        <v>3.2377572146245681</v>
      </c>
      <c r="P60" s="12">
        <f>Vulnerability!AG41</f>
        <v>0.87626721856555378</v>
      </c>
      <c r="Q60" s="12">
        <f t="shared" si="8"/>
        <v>2.134332844867421</v>
      </c>
      <c r="R60" s="12">
        <f t="shared" si="9"/>
        <v>4.8122995745508081</v>
      </c>
      <c r="S60" s="12">
        <f>'Lack of Coping Capacity'!F41</f>
        <v>8.0127683565050205</v>
      </c>
      <c r="T60" s="12">
        <f>'Lack of Coping Capacity'!I41</f>
        <v>6.3694647312164303</v>
      </c>
      <c r="U60" s="12">
        <f>'Lack of Coping Capacity'!J41</f>
        <v>7.1911165438607254</v>
      </c>
      <c r="V60" s="12">
        <f>'Lack of Coping Capacity'!M41</f>
        <v>8.4472657303624654</v>
      </c>
      <c r="W60" s="12">
        <f>'Lack of Coping Capacity'!S41</f>
        <v>8.2329977628635334</v>
      </c>
      <c r="X60" s="12">
        <f>'Lack of Coping Capacity'!U41</f>
        <v>8.4059639223302298</v>
      </c>
      <c r="Y60" s="12">
        <f>'Lack of Coping Capacity'!V41</f>
        <v>8.3620758051854107</v>
      </c>
      <c r="Z60" s="12">
        <f>'Lack of Coping Capacity'!AB41</f>
        <v>5.0693877117172024</v>
      </c>
      <c r="AA60" s="12">
        <f>'Lack of Coping Capacity'!AI41</f>
        <v>6.9503220205383363</v>
      </c>
      <c r="AB60" s="12">
        <f>'Lack of Coping Capacity'!AE41</f>
        <v>9.838000000000001</v>
      </c>
      <c r="AC60" s="12">
        <f>'Lack of Coping Capacity'!AJ41</f>
        <v>7.2859032440851799</v>
      </c>
      <c r="AD60" s="12">
        <f t="shared" si="10"/>
        <v>7.6567032949783078</v>
      </c>
      <c r="AE60" s="12">
        <f t="shared" si="11"/>
        <v>6.077660313424273</v>
      </c>
    </row>
    <row r="61" spans="1:31" x14ac:dyDescent="0.25">
      <c r="A61" s="117" t="s">
        <v>525</v>
      </c>
      <c r="B61" s="115" t="s">
        <v>546</v>
      </c>
      <c r="C61" s="115" t="s">
        <v>579</v>
      </c>
      <c r="D61" s="93" t="s">
        <v>547</v>
      </c>
      <c r="E61" s="12">
        <f>'Hazard &amp; Exposure'!O132</f>
        <v>7.3070981935952206</v>
      </c>
      <c r="F61" s="12">
        <f>'Hazard &amp; Exposure'!P132</f>
        <v>6.7182807391394057</v>
      </c>
      <c r="G61" s="159">
        <f>'Hazard &amp; Exposure'!Q132</f>
        <v>7.0232775186765428</v>
      </c>
      <c r="H61" s="12">
        <f>'Hazard &amp; Exposure'!W132</f>
        <v>0</v>
      </c>
      <c r="I61" s="12">
        <f>'Hazard &amp; Exposure'!T132</f>
        <v>10</v>
      </c>
      <c r="J61" s="12">
        <f>'Hazard &amp; Exposure'!AA132</f>
        <v>5</v>
      </c>
      <c r="K61" s="12">
        <f t="shared" si="6"/>
        <v>6.1129909357751746</v>
      </c>
      <c r="L61" s="12">
        <f>Vulnerability!J132</f>
        <v>5.7919637560366866</v>
      </c>
      <c r="M61" s="12">
        <f>Vulnerability!O132</f>
        <v>5.472427492671776</v>
      </c>
      <c r="N61" s="12">
        <f t="shared" si="7"/>
        <v>5.6854516682483833</v>
      </c>
      <c r="O61" s="12">
        <f>Vulnerability!AA132</f>
        <v>0</v>
      </c>
      <c r="P61" s="12">
        <f>Vulnerability!AG132</f>
        <v>5.8364477315777483</v>
      </c>
      <c r="Q61" s="12">
        <f t="shared" si="8"/>
        <v>3.455566004216108</v>
      </c>
      <c r="R61" s="12">
        <f t="shared" si="9"/>
        <v>4.6662386841746066</v>
      </c>
      <c r="S61" s="12">
        <f>'Lack of Coping Capacity'!F132</f>
        <v>9.0741303159868121</v>
      </c>
      <c r="T61" s="12">
        <f>'Lack of Coping Capacity'!I132</f>
        <v>8.4814011573791497</v>
      </c>
      <c r="U61" s="12">
        <f>'Lack of Coping Capacity'!J132</f>
        <v>8.77776573668298</v>
      </c>
      <c r="V61" s="12">
        <f>'Lack of Coping Capacity'!M132</f>
        <v>4.0873843546619799</v>
      </c>
      <c r="W61" s="12">
        <f>'Lack of Coping Capacity'!S132</f>
        <v>6.9611111111111104</v>
      </c>
      <c r="X61" s="12">
        <f>'Lack of Coping Capacity'!U132</f>
        <v>7.313265781810947</v>
      </c>
      <c r="Y61" s="12">
        <f>'Lack of Coping Capacity'!V132</f>
        <v>6.1205870825280124</v>
      </c>
      <c r="Z61" s="12">
        <f>'Lack of Coping Capacity'!AB132</f>
        <v>8.3770804987890024</v>
      </c>
      <c r="AA61" s="12">
        <f>'Lack of Coping Capacity'!AI132</f>
        <v>5.1365251441479209</v>
      </c>
      <c r="AB61" s="12">
        <f>'Lack of Coping Capacity'!AE132</f>
        <v>9.69</v>
      </c>
      <c r="AC61" s="12">
        <f>'Lack of Coping Capacity'!AJ132</f>
        <v>7.7345352143123085</v>
      </c>
      <c r="AD61" s="12">
        <f t="shared" si="10"/>
        <v>7.7106806509985324</v>
      </c>
      <c r="AE61" s="12">
        <f t="shared" si="11"/>
        <v>6.0363044977614377</v>
      </c>
    </row>
    <row r="62" spans="1:31" x14ac:dyDescent="0.25">
      <c r="A62" s="117" t="s">
        <v>560</v>
      </c>
      <c r="B62" s="115" t="s">
        <v>563</v>
      </c>
      <c r="C62" s="115" t="s">
        <v>581</v>
      </c>
      <c r="D62" s="93" t="s">
        <v>609</v>
      </c>
      <c r="E62" s="12">
        <f>'Hazard &amp; Exposure'!O141</f>
        <v>9.0839659233699539</v>
      </c>
      <c r="F62" s="12">
        <f>'Hazard &amp; Exposure'!P141</f>
        <v>1.0361745520398615</v>
      </c>
      <c r="G62" s="159">
        <f>'Hazard &amp; Exposure'!Q141</f>
        <v>6.5918900319295748</v>
      </c>
      <c r="H62" s="12">
        <f>'Hazard &amp; Exposure'!W141</f>
        <v>5</v>
      </c>
      <c r="I62" s="12">
        <f>'Hazard &amp; Exposure'!T141</f>
        <v>5.1992551517796564</v>
      </c>
      <c r="J62" s="12">
        <f>'Hazard &amp; Exposure'!AA141</f>
        <v>5.0996275758898282</v>
      </c>
      <c r="K62" s="12">
        <f t="shared" si="6"/>
        <v>5.8988924751054448</v>
      </c>
      <c r="L62" s="12">
        <f>Vulnerability!J141</f>
        <v>6.70263179524237</v>
      </c>
      <c r="M62" s="12">
        <f>Vulnerability!O141</f>
        <v>3.5561503761683215</v>
      </c>
      <c r="N62" s="12">
        <f t="shared" si="7"/>
        <v>5.6538046555510206</v>
      </c>
      <c r="O62" s="12">
        <f>Vulnerability!AA141</f>
        <v>1.9816394870987146</v>
      </c>
      <c r="P62" s="12">
        <f>Vulnerability!AG141</f>
        <v>2.5183962863371236E-2</v>
      </c>
      <c r="Q62" s="12">
        <f t="shared" si="8"/>
        <v>1.0508597561102622</v>
      </c>
      <c r="R62" s="12">
        <f t="shared" si="9"/>
        <v>3.701531186162379</v>
      </c>
      <c r="S62" s="12">
        <f>'Lack of Coping Capacity'!F141</f>
        <v>6.4913798911920617</v>
      </c>
      <c r="T62" s="12">
        <f>'Lack of Coping Capacity'!I141</f>
        <v>6.7801740288734438</v>
      </c>
      <c r="U62" s="12">
        <f>'Lack of Coping Capacity'!J141</f>
        <v>6.6357769600327527</v>
      </c>
      <c r="V62" s="12">
        <f>'Lack of Coping Capacity'!M141</f>
        <v>6.1754654630968755</v>
      </c>
      <c r="W62" s="12">
        <f>'Lack of Coping Capacity'!S141</f>
        <v>7.7079791200596572</v>
      </c>
      <c r="X62" s="12">
        <f>'Lack of Coping Capacity'!U141</f>
        <v>6.94</v>
      </c>
      <c r="Y62" s="12">
        <f>'Lack of Coping Capacity'!V141</f>
        <v>6.9411481943855113</v>
      </c>
      <c r="Z62" s="12">
        <f>'Lack of Coping Capacity'!AB141</f>
        <v>6.1989116448528341</v>
      </c>
      <c r="AA62" s="12">
        <f>'Lack of Coping Capacity'!AI141</f>
        <v>4.6060217842026754</v>
      </c>
      <c r="AB62" s="12">
        <f>'Lack of Coping Capacity'!AE141</f>
        <v>9.7703999999999986</v>
      </c>
      <c r="AC62" s="12">
        <f>'Lack of Coping Capacity'!AJ141</f>
        <v>6.8584444763518357</v>
      </c>
      <c r="AD62" s="12">
        <f t="shared" si="10"/>
        <v>6.8137056302967398</v>
      </c>
      <c r="AE62" s="12">
        <f t="shared" si="11"/>
        <v>5.2988108863100996</v>
      </c>
    </row>
    <row r="63" spans="1:31" x14ac:dyDescent="0.25">
      <c r="A63" s="117" t="s">
        <v>525</v>
      </c>
      <c r="B63" s="115" t="s">
        <v>526</v>
      </c>
      <c r="C63" s="115" t="s">
        <v>579</v>
      </c>
      <c r="D63" s="93" t="s">
        <v>527</v>
      </c>
      <c r="E63" s="12">
        <f>'Hazard &amp; Exposure'!O122</f>
        <v>9.247604941154167</v>
      </c>
      <c r="F63" s="12">
        <f>'Hazard &amp; Exposure'!P122</f>
        <v>0.70180594667705487</v>
      </c>
      <c r="G63" s="159">
        <f>'Hazard &amp; Exposure'!Q122</f>
        <v>6.7068172518315619</v>
      </c>
      <c r="H63" s="12">
        <f>'Hazard &amp; Exposure'!W122</f>
        <v>0</v>
      </c>
      <c r="I63" s="12">
        <f>'Hazard &amp; Exposure'!T122</f>
        <v>10</v>
      </c>
      <c r="J63" s="12">
        <f>'Hazard &amp; Exposure'!AA122</f>
        <v>5</v>
      </c>
      <c r="K63" s="12">
        <f t="shared" si="6"/>
        <v>5.9231318185501145</v>
      </c>
      <c r="L63" s="12">
        <f>Vulnerability!J122</f>
        <v>4.8651247455310251</v>
      </c>
      <c r="M63" s="12">
        <f>Vulnerability!O122</f>
        <v>5.472427492671776</v>
      </c>
      <c r="N63" s="12">
        <f t="shared" si="7"/>
        <v>5.0675589945779427</v>
      </c>
      <c r="O63" s="12">
        <f>Vulnerability!AA122</f>
        <v>2.3130068067087164</v>
      </c>
      <c r="P63" s="12">
        <f>Vulnerability!AG122</f>
        <v>1.3074067872768502</v>
      </c>
      <c r="Q63" s="12">
        <f t="shared" si="8"/>
        <v>1.823807239124656</v>
      </c>
      <c r="R63" s="12">
        <f t="shared" si="9"/>
        <v>3.6192285057554696</v>
      </c>
      <c r="S63" s="12">
        <f>'Lack of Coping Capacity'!F122</f>
        <v>9.0741303159868121</v>
      </c>
      <c r="T63" s="12">
        <f>'Lack of Coping Capacity'!I122</f>
        <v>8.4814011573791497</v>
      </c>
      <c r="U63" s="12">
        <f>'Lack of Coping Capacity'!J122</f>
        <v>8.77776573668298</v>
      </c>
      <c r="V63" s="12">
        <f>'Lack of Coping Capacity'!M122</f>
        <v>4.0873843546619799</v>
      </c>
      <c r="W63" s="12">
        <f>'Lack of Coping Capacity'!S122</f>
        <v>6.9611111111111104</v>
      </c>
      <c r="X63" s="12">
        <f>'Lack of Coping Capacity'!U122</f>
        <v>7.313265781810947</v>
      </c>
      <c r="Y63" s="12">
        <f>'Lack of Coping Capacity'!V122</f>
        <v>6.1205870825280124</v>
      </c>
      <c r="Z63" s="12">
        <f>'Lack of Coping Capacity'!AB122</f>
        <v>8.3770804987890024</v>
      </c>
      <c r="AA63" s="12">
        <f>'Lack of Coping Capacity'!AI122</f>
        <v>5.1365251441479209</v>
      </c>
      <c r="AB63" s="12">
        <f>'Lack of Coping Capacity'!AE122</f>
        <v>9.69</v>
      </c>
      <c r="AC63" s="12">
        <f>'Lack of Coping Capacity'!AJ122</f>
        <v>7.7345352143123085</v>
      </c>
      <c r="AD63" s="12">
        <f t="shared" si="10"/>
        <v>7.7106806509985324</v>
      </c>
      <c r="AE63" s="12">
        <f t="shared" si="11"/>
        <v>5.4880750206925661</v>
      </c>
    </row>
    <row r="64" spans="1:31" x14ac:dyDescent="0.25">
      <c r="A64" s="117" t="s">
        <v>408</v>
      </c>
      <c r="B64" s="115" t="s">
        <v>450</v>
      </c>
      <c r="C64" s="115" t="s">
        <v>576</v>
      </c>
      <c r="D64" s="93" t="s">
        <v>675</v>
      </c>
      <c r="E64" s="12">
        <f>'Hazard &amp; Exposure'!O83</f>
        <v>4.5333325278193914</v>
      </c>
      <c r="F64" s="12">
        <f>'Hazard &amp; Exposure'!P83</f>
        <v>0.46386023490226297</v>
      </c>
      <c r="G64" s="159">
        <f>'Hazard &amp; Exposure'!Q83</f>
        <v>2.7424039956445552</v>
      </c>
      <c r="H64" s="12">
        <f>'Hazard &amp; Exposure'!W83</f>
        <v>8</v>
      </c>
      <c r="I64" s="12">
        <f>'Hazard &amp; Exposure'!T83</f>
        <v>8.3825408014047689</v>
      </c>
      <c r="J64" s="12">
        <f>'Hazard &amp; Exposure'!AA83</f>
        <v>8</v>
      </c>
      <c r="K64" s="12">
        <f t="shared" si="6"/>
        <v>6.0085649141068531</v>
      </c>
      <c r="L64" s="12">
        <f>Vulnerability!J83</f>
        <v>5.7040479410375289</v>
      </c>
      <c r="M64" s="12">
        <f>Vulnerability!O83</f>
        <v>4.7304377777777775</v>
      </c>
      <c r="N64" s="12">
        <f t="shared" si="7"/>
        <v>5.3795112199509454</v>
      </c>
      <c r="O64" s="12">
        <f>Vulnerability!AA83</f>
        <v>3.5608964337867768</v>
      </c>
      <c r="P64" s="12">
        <f>Vulnerability!AG83</f>
        <v>1.2711042119543197</v>
      </c>
      <c r="Q64" s="12">
        <f t="shared" si="8"/>
        <v>2.4917048371856083</v>
      </c>
      <c r="R64" s="12">
        <f t="shared" si="9"/>
        <v>4.0823851908965052</v>
      </c>
      <c r="S64" s="12">
        <f>'Lack of Coping Capacity'!F83</f>
        <v>8.0745683600492235</v>
      </c>
      <c r="T64" s="12">
        <f>'Lack of Coping Capacity'!I83</f>
        <v>6.7364291846752167</v>
      </c>
      <c r="U64" s="12">
        <f>'Lack of Coping Capacity'!J83</f>
        <v>7.4054987723622201</v>
      </c>
      <c r="V64" s="12">
        <f>'Lack of Coping Capacity'!M83</f>
        <v>2.5117977238917955</v>
      </c>
      <c r="W64" s="12">
        <f>'Lack of Coping Capacity'!S83</f>
        <v>7.4126894605420075</v>
      </c>
      <c r="X64" s="12">
        <f>'Lack of Coping Capacity'!U83</f>
        <v>9.8647237723687979</v>
      </c>
      <c r="Y64" s="12">
        <f>'Lack of Coping Capacity'!V83</f>
        <v>6.5964036522675329</v>
      </c>
      <c r="Z64" s="12">
        <f>'Lack of Coping Capacity'!AB83</f>
        <v>7.7216164848659146</v>
      </c>
      <c r="AA64" s="12">
        <f>'Lack of Coping Capacity'!AI83</f>
        <v>1.726022765340498</v>
      </c>
      <c r="AB64" s="12">
        <f>'Lack of Coping Capacity'!AE83</f>
        <v>8.6456</v>
      </c>
      <c r="AC64" s="12">
        <f>'Lack of Coping Capacity'!AJ83</f>
        <v>6.0310797500688045</v>
      </c>
      <c r="AD64" s="12">
        <f t="shared" si="10"/>
        <v>6.7144938170764039</v>
      </c>
      <c r="AE64" s="12">
        <f t="shared" si="11"/>
        <v>5.481498991487773</v>
      </c>
    </row>
    <row r="65" spans="1:31" x14ac:dyDescent="0.25">
      <c r="A65" s="117" t="s">
        <v>467</v>
      </c>
      <c r="B65" s="115" t="s">
        <v>502</v>
      </c>
      <c r="C65" s="115" t="s">
        <v>578</v>
      </c>
      <c r="D65" s="93" t="s">
        <v>503</v>
      </c>
      <c r="E65" s="12">
        <f>'Hazard &amp; Exposure'!O111</f>
        <v>3.5040409449569685</v>
      </c>
      <c r="F65" s="12">
        <f>'Hazard &amp; Exposure'!P111</f>
        <v>3.8814009142065475</v>
      </c>
      <c r="G65" s="159">
        <f>'Hazard &amp; Exposure'!Q111</f>
        <v>3.6951207693689447</v>
      </c>
      <c r="H65" s="12">
        <f>'Hazard &amp; Exposure'!W111</f>
        <v>5</v>
      </c>
      <c r="I65" s="12">
        <f>'Hazard &amp; Exposure'!T111</f>
        <v>9.4963814816019507</v>
      </c>
      <c r="J65" s="12">
        <f>'Hazard &amp; Exposure'!AA111</f>
        <v>7.2481907408009754</v>
      </c>
      <c r="K65" s="12">
        <f t="shared" si="6"/>
        <v>5.7587863678673834</v>
      </c>
      <c r="L65" s="12">
        <f>Vulnerability!J111</f>
        <v>8.8394390777487928</v>
      </c>
      <c r="M65" s="12">
        <f>Vulnerability!O111</f>
        <v>10</v>
      </c>
      <c r="N65" s="12">
        <f t="shared" si="7"/>
        <v>9.2262927184991952</v>
      </c>
      <c r="O65" s="12">
        <f>Vulnerability!AA111</f>
        <v>3.4808243834573553</v>
      </c>
      <c r="P65" s="12">
        <f>Vulnerability!AG111</f>
        <v>5.3307600564189723</v>
      </c>
      <c r="Q65" s="12">
        <f t="shared" si="8"/>
        <v>4.4698961670066204</v>
      </c>
      <c r="R65" s="12">
        <f t="shared" si="9"/>
        <v>7.57310544747273</v>
      </c>
      <c r="S65" s="12">
        <f>'Lack of Coping Capacity'!F111</f>
        <v>5.7696490037761592</v>
      </c>
      <c r="T65" s="12">
        <f>'Lack of Coping Capacity'!I111</f>
        <v>9.307685232162477</v>
      </c>
      <c r="U65" s="12">
        <f>'Lack of Coping Capacity'!J111</f>
        <v>7.5386671179693181</v>
      </c>
      <c r="V65" s="12">
        <f>'Lack of Coping Capacity'!M111</f>
        <v>7.3808660795689001</v>
      </c>
      <c r="W65" s="12">
        <f>'Lack of Coping Capacity'!S111</f>
        <v>9.7328859083892603</v>
      </c>
      <c r="X65" s="12">
        <f>'Lack of Coping Capacity'!U111</f>
        <v>8.5136604607862196</v>
      </c>
      <c r="Y65" s="12">
        <f>'Lack of Coping Capacity'!V111</f>
        <v>8.5424708162481267</v>
      </c>
      <c r="Z65" s="12">
        <f>'Lack of Coping Capacity'!AB111</f>
        <v>8.6335737116273936</v>
      </c>
      <c r="AA65" s="12">
        <f>'Lack of Coping Capacity'!AI111</f>
        <v>4.5195373333333331</v>
      </c>
      <c r="AB65" s="12" t="str">
        <f>'Lack of Coping Capacity'!AE111</f>
        <v>x</v>
      </c>
      <c r="AC65" s="12">
        <f>'Lack of Coping Capacity'!AJ111</f>
        <v>6.5765555224803638</v>
      </c>
      <c r="AD65" s="12">
        <f t="shared" si="10"/>
        <v>7.6458618194361119</v>
      </c>
      <c r="AE65" s="12">
        <f t="shared" si="11"/>
        <v>6.9344252699630289</v>
      </c>
    </row>
    <row r="66" spans="1:31" x14ac:dyDescent="0.25">
      <c r="A66" s="117" t="s">
        <v>408</v>
      </c>
      <c r="B66" s="115" t="s">
        <v>417</v>
      </c>
      <c r="C66" s="115" t="s">
        <v>576</v>
      </c>
      <c r="D66" s="93" t="s">
        <v>642</v>
      </c>
      <c r="E66" s="12">
        <f>'Hazard &amp; Exposure'!O50</f>
        <v>4.952401048882745</v>
      </c>
      <c r="F66" s="12">
        <f>'Hazard &amp; Exposure'!P50</f>
        <v>6.5054865598748588</v>
      </c>
      <c r="G66" s="159">
        <f>'Hazard &amp; Exposure'!Q50</f>
        <v>5.7852584782883909</v>
      </c>
      <c r="H66" s="12">
        <f>'Hazard &amp; Exposure'!W50</f>
        <v>5</v>
      </c>
      <c r="I66" s="12">
        <f>'Hazard &amp; Exposure'!T50</f>
        <v>8.3825408014047689</v>
      </c>
      <c r="J66" s="12">
        <f>'Hazard &amp; Exposure'!AA50</f>
        <v>6.6912704007023844</v>
      </c>
      <c r="K66" s="12">
        <f t="shared" si="6"/>
        <v>6.259367065493354</v>
      </c>
      <c r="L66" s="12">
        <f>Vulnerability!J50</f>
        <v>6.21955859329349</v>
      </c>
      <c r="M66" s="12">
        <f>Vulnerability!O50</f>
        <v>4.9834777777777779</v>
      </c>
      <c r="N66" s="12">
        <f t="shared" si="7"/>
        <v>5.807531654788253</v>
      </c>
      <c r="O66" s="12">
        <f>Vulnerability!AA50</f>
        <v>3.5608964337867768</v>
      </c>
      <c r="P66" s="12">
        <f>Vulnerability!AG50</f>
        <v>7.999427711800486</v>
      </c>
      <c r="Q66" s="12">
        <f t="shared" si="8"/>
        <v>6.2640627646778348</v>
      </c>
      <c r="R66" s="12">
        <f t="shared" si="9"/>
        <v>6.0409330043827891</v>
      </c>
      <c r="S66" s="12">
        <f>'Lack of Coping Capacity'!F50</f>
        <v>8.0745683600492235</v>
      </c>
      <c r="T66" s="12">
        <f>'Lack of Coping Capacity'!I50</f>
        <v>6.7364291846752167</v>
      </c>
      <c r="U66" s="12">
        <f>'Lack of Coping Capacity'!J50</f>
        <v>7.4054987723622201</v>
      </c>
      <c r="V66" s="12">
        <f>'Lack of Coping Capacity'!M50</f>
        <v>2.5117977238917955</v>
      </c>
      <c r="W66" s="12">
        <f>'Lack of Coping Capacity'!S50</f>
        <v>7.4126894605420075</v>
      </c>
      <c r="X66" s="12">
        <f>'Lack of Coping Capacity'!U50</f>
        <v>9.8647237723687979</v>
      </c>
      <c r="Y66" s="12">
        <f>'Lack of Coping Capacity'!V50</f>
        <v>6.5964036522675329</v>
      </c>
      <c r="Z66" s="12">
        <f>'Lack of Coping Capacity'!AB50</f>
        <v>7.7216164848659146</v>
      </c>
      <c r="AA66" s="12">
        <f>'Lack of Coping Capacity'!AI50</f>
        <v>1.726022765340498</v>
      </c>
      <c r="AB66" s="12">
        <f>'Lack of Coping Capacity'!AE50</f>
        <v>8.6456</v>
      </c>
      <c r="AC66" s="12">
        <f>'Lack of Coping Capacity'!AJ50</f>
        <v>6.0310797500688045</v>
      </c>
      <c r="AD66" s="12">
        <f t="shared" si="10"/>
        <v>6.7144938170764039</v>
      </c>
      <c r="AE66" s="12">
        <f t="shared" si="11"/>
        <v>6.3321214981971004</v>
      </c>
    </row>
    <row r="67" spans="1:31" x14ac:dyDescent="0.25">
      <c r="A67" s="117" t="s">
        <v>408</v>
      </c>
      <c r="B67" s="115" t="s">
        <v>433</v>
      </c>
      <c r="C67" s="115" t="s">
        <v>576</v>
      </c>
      <c r="D67" s="93" t="s">
        <v>658</v>
      </c>
      <c r="E67" s="12">
        <f>'Hazard &amp; Exposure'!O66</f>
        <v>0</v>
      </c>
      <c r="F67" s="12">
        <f>'Hazard &amp; Exposure'!P66</f>
        <v>6.8213286031765357</v>
      </c>
      <c r="G67" s="159">
        <f>'Hazard &amp; Exposure'!Q66</f>
        <v>4.2071810645244607</v>
      </c>
      <c r="H67" s="12">
        <f>'Hazard &amp; Exposure'!W66</f>
        <v>7</v>
      </c>
      <c r="I67" s="12">
        <f>'Hazard &amp; Exposure'!T66</f>
        <v>8.3825408014047689</v>
      </c>
      <c r="J67" s="12">
        <f>'Hazard &amp; Exposure'!AA66</f>
        <v>7.6912704007023844</v>
      </c>
      <c r="K67" s="12">
        <f t="shared" si="6"/>
        <v>6.252063772884096</v>
      </c>
      <c r="L67" s="12">
        <f>Vulnerability!J66</f>
        <v>6.3676551088192159</v>
      </c>
      <c r="M67" s="12">
        <f>Vulnerability!O66</f>
        <v>4.6654777777777774</v>
      </c>
      <c r="N67" s="12">
        <f t="shared" si="7"/>
        <v>5.8002626651387361</v>
      </c>
      <c r="O67" s="12">
        <f>Vulnerability!AA66</f>
        <v>3.5608964337867768</v>
      </c>
      <c r="P67" s="12">
        <f>Vulnerability!AG66</f>
        <v>7.999427711800486</v>
      </c>
      <c r="Q67" s="12">
        <f t="shared" si="8"/>
        <v>6.2640627646778348</v>
      </c>
      <c r="R67" s="12">
        <f t="shared" si="9"/>
        <v>6.0374596471053179</v>
      </c>
      <c r="S67" s="12">
        <f>'Lack of Coping Capacity'!F66</f>
        <v>8.0745683600492235</v>
      </c>
      <c r="T67" s="12">
        <f>'Lack of Coping Capacity'!I66</f>
        <v>6.7364291846752167</v>
      </c>
      <c r="U67" s="12">
        <f>'Lack of Coping Capacity'!J66</f>
        <v>7.4054987723622201</v>
      </c>
      <c r="V67" s="12">
        <f>'Lack of Coping Capacity'!M66</f>
        <v>2.5117977238917955</v>
      </c>
      <c r="W67" s="12">
        <f>'Lack of Coping Capacity'!S66</f>
        <v>7.4126894605420075</v>
      </c>
      <c r="X67" s="12">
        <f>'Lack of Coping Capacity'!U66</f>
        <v>9.8647237723687979</v>
      </c>
      <c r="Y67" s="12">
        <f>'Lack of Coping Capacity'!V66</f>
        <v>6.5964036522675329</v>
      </c>
      <c r="Z67" s="12">
        <f>'Lack of Coping Capacity'!AB66</f>
        <v>7.7216164848659146</v>
      </c>
      <c r="AA67" s="12">
        <f>'Lack of Coping Capacity'!AI66</f>
        <v>1.726022765340498</v>
      </c>
      <c r="AB67" s="12">
        <f>'Lack of Coping Capacity'!AE66</f>
        <v>8.6456</v>
      </c>
      <c r="AC67" s="12">
        <f>'Lack of Coping Capacity'!AJ66</f>
        <v>6.0310797500688045</v>
      </c>
      <c r="AD67" s="12">
        <f t="shared" si="10"/>
        <v>6.7144938170764039</v>
      </c>
      <c r="AE67" s="12">
        <f t="shared" si="11"/>
        <v>6.3284444583905106</v>
      </c>
    </row>
    <row r="68" spans="1:31" x14ac:dyDescent="0.25">
      <c r="A68" s="117" t="s">
        <v>560</v>
      </c>
      <c r="B68" s="115" t="s">
        <v>564</v>
      </c>
      <c r="C68" s="115" t="s">
        <v>581</v>
      </c>
      <c r="D68" s="93" t="s">
        <v>610</v>
      </c>
      <c r="E68" s="12">
        <f>'Hazard &amp; Exposure'!O142</f>
        <v>9.024632825375944</v>
      </c>
      <c r="F68" s="12">
        <f>'Hazard &amp; Exposure'!P142</f>
        <v>2.3769728718022343</v>
      </c>
      <c r="G68" s="159">
        <f>'Hazard &amp; Exposure'!Q142</f>
        <v>6.8422014399038193</v>
      </c>
      <c r="H68" s="12">
        <f>'Hazard &amp; Exposure'!W142</f>
        <v>5</v>
      </c>
      <c r="I68" s="12">
        <f>'Hazard &amp; Exposure'!T142</f>
        <v>5.1992551517796564</v>
      </c>
      <c r="J68" s="12">
        <f>'Hazard &amp; Exposure'!AA142</f>
        <v>5.0996275758898282</v>
      </c>
      <c r="K68" s="12">
        <f t="shared" ref="K68:K99" si="12">(10-GEOMEAN(((10-G68)/10*9+1),((10-J68)/10*9+1)))/9*10</f>
        <v>6.0452962505176515</v>
      </c>
      <c r="L68" s="12">
        <f>Vulnerability!J142</f>
        <v>7.0642848877070055</v>
      </c>
      <c r="M68" s="12">
        <f>Vulnerability!O142</f>
        <v>3.9682303761683215</v>
      </c>
      <c r="N68" s="12">
        <f t="shared" ref="N68:N99" si="13">AVERAGE(L68,L68,M68)</f>
        <v>6.0322667171941111</v>
      </c>
      <c r="O68" s="12">
        <f>Vulnerability!AA142</f>
        <v>1.9816394870987146</v>
      </c>
      <c r="P68" s="12">
        <f>Vulnerability!AG142</f>
        <v>2.5183962863371236E-2</v>
      </c>
      <c r="Q68" s="12">
        <f t="shared" ref="Q68:Q99" si="14">(10-GEOMEAN(((10-O68)/10*9+1),((10-P68)/10*9+1)))/9*10</f>
        <v>1.0508597561102622</v>
      </c>
      <c r="R68" s="12">
        <f t="shared" ref="R68:R99" si="15">(10-GEOMEAN(((10-N68)/10*9+1),((10-Q68)/10*9+1)))/9*10</f>
        <v>3.9630728350704763</v>
      </c>
      <c r="S68" s="12">
        <f>'Lack of Coping Capacity'!F142</f>
        <v>6.4913798911920617</v>
      </c>
      <c r="T68" s="12">
        <f>'Lack of Coping Capacity'!I142</f>
        <v>6.7801740288734438</v>
      </c>
      <c r="U68" s="12">
        <f>'Lack of Coping Capacity'!J142</f>
        <v>6.6357769600327527</v>
      </c>
      <c r="V68" s="12">
        <f>'Lack of Coping Capacity'!M142</f>
        <v>6.1754654630968755</v>
      </c>
      <c r="W68" s="12">
        <f>'Lack of Coping Capacity'!S142</f>
        <v>7.7079791200596572</v>
      </c>
      <c r="X68" s="12">
        <f>'Lack of Coping Capacity'!U142</f>
        <v>6.94</v>
      </c>
      <c r="Y68" s="12">
        <f>'Lack of Coping Capacity'!V142</f>
        <v>6.9411481943855113</v>
      </c>
      <c r="Z68" s="12">
        <f>'Lack of Coping Capacity'!AB142</f>
        <v>6.1989116448528341</v>
      </c>
      <c r="AA68" s="12">
        <f>'Lack of Coping Capacity'!AI142</f>
        <v>4.6060217842026754</v>
      </c>
      <c r="AB68" s="12">
        <f>'Lack of Coping Capacity'!AE142</f>
        <v>9.7703999999999986</v>
      </c>
      <c r="AC68" s="12">
        <f>'Lack of Coping Capacity'!AJ142</f>
        <v>6.8584444763518357</v>
      </c>
      <c r="AD68" s="12">
        <f t="shared" ref="AD68:AD99" si="16">(10-GEOMEAN(((10-U68)/10*9+1),((10-Y68)/10*9+1),((10-AC68)/10*9+1)))/9*10</f>
        <v>6.8137056302967398</v>
      </c>
      <c r="AE68" s="12">
        <f t="shared" ref="AE68:AE99" si="17">K68^(1/3)*R68^(1/3)*AD68^(1/3)</f>
        <v>5.4652622095339067</v>
      </c>
    </row>
    <row r="69" spans="1:31" x14ac:dyDescent="0.25">
      <c r="A69" s="117" t="s">
        <v>560</v>
      </c>
      <c r="B69" s="115" t="s">
        <v>562</v>
      </c>
      <c r="C69" s="115" t="s">
        <v>581</v>
      </c>
      <c r="D69" s="93" t="s">
        <v>608</v>
      </c>
      <c r="E69" s="12">
        <f>'Hazard &amp; Exposure'!O140</f>
        <v>9.0291871448023588</v>
      </c>
      <c r="F69" s="12">
        <f>'Hazard &amp; Exposure'!P140</f>
        <v>2.3643429110939143</v>
      </c>
      <c r="G69" s="159">
        <f>'Hazard &amp; Exposure'!Q140</f>
        <v>6.8437809922472015</v>
      </c>
      <c r="H69" s="12">
        <f>'Hazard &amp; Exposure'!W140</f>
        <v>5</v>
      </c>
      <c r="I69" s="12">
        <f>'Hazard &amp; Exposure'!T140</f>
        <v>5.1992551517796564</v>
      </c>
      <c r="J69" s="12">
        <f>'Hazard &amp; Exposure'!AA140</f>
        <v>5.0996275758898282</v>
      </c>
      <c r="K69" s="12">
        <f t="shared" si="12"/>
        <v>6.0462335460653103</v>
      </c>
      <c r="L69" s="12">
        <f>Vulnerability!J140</f>
        <v>6.1650111259078475</v>
      </c>
      <c r="M69" s="12">
        <f>Vulnerability!O140</f>
        <v>3.8706441539460994</v>
      </c>
      <c r="N69" s="12">
        <f t="shared" si="13"/>
        <v>5.400222135253931</v>
      </c>
      <c r="O69" s="12">
        <f>Vulnerability!AA140</f>
        <v>1.9816394870987146</v>
      </c>
      <c r="P69" s="12">
        <f>Vulnerability!AG140</f>
        <v>2.5183962863371236E-2</v>
      </c>
      <c r="Q69" s="12">
        <f t="shared" si="14"/>
        <v>1.0508597561102622</v>
      </c>
      <c r="R69" s="12">
        <f t="shared" si="15"/>
        <v>3.5313368032819783</v>
      </c>
      <c r="S69" s="12">
        <f>'Lack of Coping Capacity'!F140</f>
        <v>6.4913798911920617</v>
      </c>
      <c r="T69" s="12">
        <f>'Lack of Coping Capacity'!I140</f>
        <v>6.7801740288734438</v>
      </c>
      <c r="U69" s="12">
        <f>'Lack of Coping Capacity'!J140</f>
        <v>6.6357769600327527</v>
      </c>
      <c r="V69" s="12">
        <f>'Lack of Coping Capacity'!M140</f>
        <v>6.1754654630968755</v>
      </c>
      <c r="W69" s="12">
        <f>'Lack of Coping Capacity'!S140</f>
        <v>7.7079791200596572</v>
      </c>
      <c r="X69" s="12">
        <f>'Lack of Coping Capacity'!U140</f>
        <v>6.94</v>
      </c>
      <c r="Y69" s="12">
        <f>'Lack of Coping Capacity'!V140</f>
        <v>6.9411481943855113</v>
      </c>
      <c r="Z69" s="12">
        <f>'Lack of Coping Capacity'!AB140</f>
        <v>6.1989116448528341</v>
      </c>
      <c r="AA69" s="12">
        <f>'Lack of Coping Capacity'!AI140</f>
        <v>4.6060217842026754</v>
      </c>
      <c r="AB69" s="12">
        <f>'Lack of Coping Capacity'!AE140</f>
        <v>9.7703999999999986</v>
      </c>
      <c r="AC69" s="12">
        <f>'Lack of Coping Capacity'!AJ140</f>
        <v>6.8584444763518357</v>
      </c>
      <c r="AD69" s="12">
        <f t="shared" si="16"/>
        <v>6.8137056302967398</v>
      </c>
      <c r="AE69" s="12">
        <f t="shared" si="17"/>
        <v>5.2593952368371841</v>
      </c>
    </row>
    <row r="70" spans="1:31" x14ac:dyDescent="0.25">
      <c r="A70" s="117" t="s">
        <v>408</v>
      </c>
      <c r="B70" s="115" t="s">
        <v>448</v>
      </c>
      <c r="C70" s="115" t="s">
        <v>576</v>
      </c>
      <c r="D70" s="93" t="s">
        <v>673</v>
      </c>
      <c r="E70" s="12">
        <f>'Hazard &amp; Exposure'!O81</f>
        <v>6.9344280551201609E-4</v>
      </c>
      <c r="F70" s="12">
        <f>'Hazard &amp; Exposure'!P81</f>
        <v>6.4032035660526487</v>
      </c>
      <c r="G70" s="159">
        <f>'Hazard &amp; Exposure'!Q81</f>
        <v>3.8787657674921561</v>
      </c>
      <c r="H70" s="12">
        <f>'Hazard &amp; Exposure'!W81</f>
        <v>8</v>
      </c>
      <c r="I70" s="12">
        <f>'Hazard &amp; Exposure'!T81</f>
        <v>8.3825408014047689</v>
      </c>
      <c r="J70" s="12">
        <f>'Hazard &amp; Exposure'!AA81</f>
        <v>8</v>
      </c>
      <c r="K70" s="12">
        <f t="shared" si="12"/>
        <v>6.367628217927491</v>
      </c>
      <c r="L70" s="12">
        <f>Vulnerability!J81</f>
        <v>6.8331269623538891</v>
      </c>
      <c r="M70" s="12">
        <f>Vulnerability!O81</f>
        <v>7.0283631111111111</v>
      </c>
      <c r="N70" s="12">
        <f t="shared" si="13"/>
        <v>6.8982056786062964</v>
      </c>
      <c r="O70" s="12">
        <f>Vulnerability!AA81</f>
        <v>3.5608964337867768</v>
      </c>
      <c r="P70" s="12">
        <f>Vulnerability!AG81</f>
        <v>6.7688147118045912</v>
      </c>
      <c r="Q70" s="12">
        <f t="shared" si="14"/>
        <v>5.3852688143536547</v>
      </c>
      <c r="R70" s="12">
        <f t="shared" si="15"/>
        <v>6.1996518455083374</v>
      </c>
      <c r="S70" s="12">
        <f>'Lack of Coping Capacity'!F81</f>
        <v>8.0745683600492235</v>
      </c>
      <c r="T70" s="12">
        <f>'Lack of Coping Capacity'!I81</f>
        <v>6.7364291846752167</v>
      </c>
      <c r="U70" s="12">
        <f>'Lack of Coping Capacity'!J81</f>
        <v>7.4054987723622201</v>
      </c>
      <c r="V70" s="12">
        <f>'Lack of Coping Capacity'!M81</f>
        <v>2.5117977238917955</v>
      </c>
      <c r="W70" s="12">
        <f>'Lack of Coping Capacity'!S81</f>
        <v>7.4126894605420075</v>
      </c>
      <c r="X70" s="12">
        <f>'Lack of Coping Capacity'!U81</f>
        <v>9.8647237723687979</v>
      </c>
      <c r="Y70" s="12">
        <f>'Lack of Coping Capacity'!V81</f>
        <v>6.5964036522675329</v>
      </c>
      <c r="Z70" s="12">
        <f>'Lack of Coping Capacity'!AB81</f>
        <v>7.7216164848659146</v>
      </c>
      <c r="AA70" s="12">
        <f>'Lack of Coping Capacity'!AI81</f>
        <v>1.726022765340498</v>
      </c>
      <c r="AB70" s="12">
        <f>'Lack of Coping Capacity'!AE81</f>
        <v>8.6456</v>
      </c>
      <c r="AC70" s="12">
        <f>'Lack of Coping Capacity'!AJ81</f>
        <v>6.0310797500688045</v>
      </c>
      <c r="AD70" s="12">
        <f t="shared" si="16"/>
        <v>6.7144938170764039</v>
      </c>
      <c r="AE70" s="12">
        <f t="shared" si="17"/>
        <v>6.4237124612839311</v>
      </c>
    </row>
    <row r="71" spans="1:31" x14ac:dyDescent="0.25">
      <c r="A71" s="117" t="s">
        <v>467</v>
      </c>
      <c r="B71" s="115" t="s">
        <v>474</v>
      </c>
      <c r="C71" s="115" t="s">
        <v>578</v>
      </c>
      <c r="D71" s="93" t="s">
        <v>475</v>
      </c>
      <c r="E71" s="12">
        <f>'Hazard &amp; Exposure'!O97</f>
        <v>0</v>
      </c>
      <c r="F71" s="12">
        <f>'Hazard &amp; Exposure'!P97</f>
        <v>6.2189817374945306</v>
      </c>
      <c r="G71" s="159">
        <f>'Hazard &amp; Exposure'!Q97</f>
        <v>3.7383915965639702</v>
      </c>
      <c r="H71" s="12">
        <f>'Hazard &amp; Exposure'!W97</f>
        <v>8</v>
      </c>
      <c r="I71" s="12">
        <f>'Hazard &amp; Exposure'!T97</f>
        <v>9.4963814816019507</v>
      </c>
      <c r="J71" s="12">
        <f>'Hazard &amp; Exposure'!AA97</f>
        <v>8</v>
      </c>
      <c r="K71" s="12">
        <f t="shared" si="12"/>
        <v>6.3218157975171243</v>
      </c>
      <c r="L71" s="12">
        <f>Vulnerability!J97</f>
        <v>8.8930594691469853</v>
      </c>
      <c r="M71" s="12">
        <f>Vulnerability!O97</f>
        <v>10</v>
      </c>
      <c r="N71" s="12">
        <f t="shared" si="13"/>
        <v>9.2620396460979908</v>
      </c>
      <c r="O71" s="12">
        <f>Vulnerability!AA97</f>
        <v>3.9085705854271913</v>
      </c>
      <c r="P71" s="12">
        <f>Vulnerability!AG97</f>
        <v>7.6803938634914442</v>
      </c>
      <c r="Q71" s="12">
        <f t="shared" si="14"/>
        <v>6.1402077718634596</v>
      </c>
      <c r="R71" s="12">
        <f t="shared" si="15"/>
        <v>8.079353284380673</v>
      </c>
      <c r="S71" s="12">
        <f>'Lack of Coping Capacity'!F97</f>
        <v>5.7696490037761592</v>
      </c>
      <c r="T71" s="12">
        <f>'Lack of Coping Capacity'!I97</f>
        <v>9.307685232162477</v>
      </c>
      <c r="U71" s="12">
        <f>'Lack of Coping Capacity'!J97</f>
        <v>7.5386671179693181</v>
      </c>
      <c r="V71" s="12">
        <f>'Lack of Coping Capacity'!M97</f>
        <v>7.3808660795689001</v>
      </c>
      <c r="W71" s="12">
        <f>'Lack of Coping Capacity'!S97</f>
        <v>9.7328859083892603</v>
      </c>
      <c r="X71" s="12">
        <f>'Lack of Coping Capacity'!U97</f>
        <v>8.5136604607862196</v>
      </c>
      <c r="Y71" s="12">
        <f>'Lack of Coping Capacity'!V97</f>
        <v>8.5424708162481267</v>
      </c>
      <c r="Z71" s="12">
        <f>'Lack of Coping Capacity'!AB97</f>
        <v>8.6335737116273936</v>
      </c>
      <c r="AA71" s="12">
        <f>'Lack of Coping Capacity'!AI97</f>
        <v>4.5195373333333331</v>
      </c>
      <c r="AB71" s="12" t="str">
        <f>'Lack of Coping Capacity'!AE97</f>
        <v>x</v>
      </c>
      <c r="AC71" s="12">
        <f>'Lack of Coping Capacity'!AJ97</f>
        <v>6.5765555224803638</v>
      </c>
      <c r="AD71" s="12">
        <f t="shared" si="16"/>
        <v>7.6458618194361119</v>
      </c>
      <c r="AE71" s="12">
        <f t="shared" si="17"/>
        <v>7.3093982861616009</v>
      </c>
    </row>
    <row r="72" spans="1:31" x14ac:dyDescent="0.25">
      <c r="A72" s="117" t="s">
        <v>408</v>
      </c>
      <c r="B72" s="115" t="s">
        <v>454</v>
      </c>
      <c r="C72" s="115" t="s">
        <v>576</v>
      </c>
      <c r="D72" s="93" t="s">
        <v>679</v>
      </c>
      <c r="E72" s="12">
        <f>'Hazard &amp; Exposure'!O87</f>
        <v>3.7132260565291486</v>
      </c>
      <c r="F72" s="12">
        <f>'Hazard &amp; Exposure'!P87</f>
        <v>6.7692576564266762</v>
      </c>
      <c r="G72" s="159">
        <f>'Hazard &amp; Exposure'!Q87</f>
        <v>5.4436131815486268</v>
      </c>
      <c r="H72" s="12">
        <f>'Hazard &amp; Exposure'!W87</f>
        <v>6</v>
      </c>
      <c r="I72" s="12">
        <f>'Hazard &amp; Exposure'!T87</f>
        <v>8.3825408014047689</v>
      </c>
      <c r="J72" s="12">
        <f>'Hazard &amp; Exposure'!AA87</f>
        <v>7.1912704007023844</v>
      </c>
      <c r="K72" s="12">
        <f t="shared" si="12"/>
        <v>6.3977588952825295</v>
      </c>
      <c r="L72" s="12">
        <f>Vulnerability!J87</f>
        <v>8.3804837431602799</v>
      </c>
      <c r="M72" s="12">
        <f>Vulnerability!O87</f>
        <v>4.8572973333333334</v>
      </c>
      <c r="N72" s="12">
        <f t="shared" si="13"/>
        <v>7.206088273217965</v>
      </c>
      <c r="O72" s="12">
        <f>Vulnerability!AA87</f>
        <v>3.5608964337867768</v>
      </c>
      <c r="P72" s="12">
        <f>Vulnerability!AG87</f>
        <v>7.999427711800486</v>
      </c>
      <c r="Q72" s="12">
        <f t="shared" si="14"/>
        <v>6.2640627646778348</v>
      </c>
      <c r="R72" s="12">
        <f t="shared" si="15"/>
        <v>6.7604979946418755</v>
      </c>
      <c r="S72" s="12">
        <f>'Lack of Coping Capacity'!F87</f>
        <v>8.0745683600492235</v>
      </c>
      <c r="T72" s="12">
        <f>'Lack of Coping Capacity'!I87</f>
        <v>6.7364291846752167</v>
      </c>
      <c r="U72" s="12">
        <f>'Lack of Coping Capacity'!J87</f>
        <v>7.4054987723622201</v>
      </c>
      <c r="V72" s="12">
        <f>'Lack of Coping Capacity'!M87</f>
        <v>2.5117977238917955</v>
      </c>
      <c r="W72" s="12">
        <f>'Lack of Coping Capacity'!S87</f>
        <v>7.4126894605420075</v>
      </c>
      <c r="X72" s="12">
        <f>'Lack of Coping Capacity'!U87</f>
        <v>9.8647237723687979</v>
      </c>
      <c r="Y72" s="12">
        <f>'Lack of Coping Capacity'!V87</f>
        <v>6.5964036522675329</v>
      </c>
      <c r="Z72" s="12">
        <f>'Lack of Coping Capacity'!AB87</f>
        <v>7.7216164848659146</v>
      </c>
      <c r="AA72" s="12">
        <f>'Lack of Coping Capacity'!AI87</f>
        <v>1.726022765340498</v>
      </c>
      <c r="AB72" s="12">
        <f>'Lack of Coping Capacity'!AE87</f>
        <v>8.6456</v>
      </c>
      <c r="AC72" s="12">
        <f>'Lack of Coping Capacity'!AJ87</f>
        <v>6.0310797500688045</v>
      </c>
      <c r="AD72" s="12">
        <f t="shared" si="16"/>
        <v>6.7144938170764039</v>
      </c>
      <c r="AE72" s="12">
        <f t="shared" si="17"/>
        <v>6.6222658575536606</v>
      </c>
    </row>
    <row r="73" spans="1:31" x14ac:dyDescent="0.25">
      <c r="A73" s="117" t="s">
        <v>408</v>
      </c>
      <c r="B73" s="115" t="s">
        <v>453</v>
      </c>
      <c r="C73" s="115" t="s">
        <v>576</v>
      </c>
      <c r="D73" s="93" t="s">
        <v>678</v>
      </c>
      <c r="E73" s="12">
        <f>'Hazard &amp; Exposure'!O86</f>
        <v>8.8042604514694638</v>
      </c>
      <c r="F73" s="12">
        <f>'Hazard &amp; Exposure'!P86</f>
        <v>0.58430022673533499</v>
      </c>
      <c r="G73" s="159">
        <f>'Hazard &amp; Exposure'!Q86</f>
        <v>6.1832535002882159</v>
      </c>
      <c r="H73" s="12">
        <f>'Hazard &amp; Exposure'!W86</f>
        <v>4</v>
      </c>
      <c r="I73" s="12">
        <f>'Hazard &amp; Exposure'!T86</f>
        <v>8.3825408014047689</v>
      </c>
      <c r="J73" s="12">
        <f>'Hazard &amp; Exposure'!AA86</f>
        <v>6.1912704007023844</v>
      </c>
      <c r="K73" s="12">
        <f t="shared" si="12"/>
        <v>6.1872635821126787</v>
      </c>
      <c r="L73" s="12">
        <f>Vulnerability!J86</f>
        <v>5.7413868285477845</v>
      </c>
      <c r="M73" s="12">
        <f>Vulnerability!O86</f>
        <v>4.4214079999999996</v>
      </c>
      <c r="N73" s="12">
        <f t="shared" si="13"/>
        <v>5.3013938856985225</v>
      </c>
      <c r="O73" s="12">
        <f>Vulnerability!AA86</f>
        <v>3.5608964337867768</v>
      </c>
      <c r="P73" s="12">
        <f>Vulnerability!AG86</f>
        <v>1.2711042119543197</v>
      </c>
      <c r="Q73" s="12">
        <f t="shared" si="14"/>
        <v>2.4917048371856083</v>
      </c>
      <c r="R73" s="12">
        <f t="shared" si="15"/>
        <v>4.0346492054371801</v>
      </c>
      <c r="S73" s="12">
        <f>'Lack of Coping Capacity'!F86</f>
        <v>8.0745683600492235</v>
      </c>
      <c r="T73" s="12">
        <f>'Lack of Coping Capacity'!I86</f>
        <v>6.7364291846752167</v>
      </c>
      <c r="U73" s="12">
        <f>'Lack of Coping Capacity'!J86</f>
        <v>7.4054987723622201</v>
      </c>
      <c r="V73" s="12">
        <f>'Lack of Coping Capacity'!M86</f>
        <v>2.5117977238917955</v>
      </c>
      <c r="W73" s="12">
        <f>'Lack of Coping Capacity'!S86</f>
        <v>7.4126894605420075</v>
      </c>
      <c r="X73" s="12">
        <f>'Lack of Coping Capacity'!U86</f>
        <v>9.8647237723687979</v>
      </c>
      <c r="Y73" s="12">
        <f>'Lack of Coping Capacity'!V86</f>
        <v>6.5964036522675329</v>
      </c>
      <c r="Z73" s="12">
        <f>'Lack of Coping Capacity'!AB86</f>
        <v>7.7216164848659146</v>
      </c>
      <c r="AA73" s="12">
        <f>'Lack of Coping Capacity'!AI86</f>
        <v>1.726022765340498</v>
      </c>
      <c r="AB73" s="12">
        <f>'Lack of Coping Capacity'!AE86</f>
        <v>8.6456</v>
      </c>
      <c r="AC73" s="12">
        <f>'Lack of Coping Capacity'!AJ86</f>
        <v>6.0310797500688045</v>
      </c>
      <c r="AD73" s="12">
        <f t="shared" si="16"/>
        <v>6.7144938170764039</v>
      </c>
      <c r="AE73" s="12">
        <f t="shared" si="17"/>
        <v>5.5136503988989514</v>
      </c>
    </row>
    <row r="74" spans="1:31" x14ac:dyDescent="0.25">
      <c r="A74" s="117" t="s">
        <v>467</v>
      </c>
      <c r="B74" s="115" t="s">
        <v>468</v>
      </c>
      <c r="C74" s="115" t="s">
        <v>578</v>
      </c>
      <c r="D74" s="93" t="s">
        <v>469</v>
      </c>
      <c r="E74" s="12">
        <f>'Hazard &amp; Exposure'!O94</f>
        <v>5.4925124602951128</v>
      </c>
      <c r="F74" s="12">
        <f>'Hazard &amp; Exposure'!P94</f>
        <v>6.3157127296450266</v>
      </c>
      <c r="G74" s="159">
        <f>'Hazard &amp; Exposure'!Q94</f>
        <v>5.9204060649511412</v>
      </c>
      <c r="H74" s="12">
        <f>'Hazard &amp; Exposure'!W94</f>
        <v>3</v>
      </c>
      <c r="I74" s="12">
        <f>'Hazard &amp; Exposure'!T94</f>
        <v>9.4963814816019507</v>
      </c>
      <c r="J74" s="12">
        <f>'Hazard &amp; Exposure'!AA94</f>
        <v>6.2481907408009754</v>
      </c>
      <c r="K74" s="12">
        <f t="shared" si="12"/>
        <v>6.0869708557795654</v>
      </c>
      <c r="L74" s="12">
        <f>Vulnerability!J94</f>
        <v>8.8394390777487928</v>
      </c>
      <c r="M74" s="12">
        <f>Vulnerability!O94</f>
        <v>10</v>
      </c>
      <c r="N74" s="12">
        <f t="shared" si="13"/>
        <v>9.2262927184991952</v>
      </c>
      <c r="O74" s="12">
        <f>Vulnerability!AA94</f>
        <v>2.3795867600455027</v>
      </c>
      <c r="P74" s="12">
        <f>Vulnerability!AG94</f>
        <v>4.7424782807750718</v>
      </c>
      <c r="Q74" s="12">
        <f t="shared" si="14"/>
        <v>3.6540424751741312</v>
      </c>
      <c r="R74" s="12">
        <f t="shared" si="15"/>
        <v>7.3620818874342042</v>
      </c>
      <c r="S74" s="12">
        <f>'Lack of Coping Capacity'!F94</f>
        <v>5.7696490037761592</v>
      </c>
      <c r="T74" s="12">
        <f>'Lack of Coping Capacity'!I94</f>
        <v>9.307685232162477</v>
      </c>
      <c r="U74" s="12">
        <f>'Lack of Coping Capacity'!J94</f>
        <v>7.5386671179693181</v>
      </c>
      <c r="V74" s="12">
        <f>'Lack of Coping Capacity'!M94</f>
        <v>7.3808660795689001</v>
      </c>
      <c r="W74" s="12">
        <f>'Lack of Coping Capacity'!S94</f>
        <v>9.7328859083892603</v>
      </c>
      <c r="X74" s="12">
        <f>'Lack of Coping Capacity'!U94</f>
        <v>8.5136604607862196</v>
      </c>
      <c r="Y74" s="12">
        <f>'Lack of Coping Capacity'!V94</f>
        <v>8.5424708162481267</v>
      </c>
      <c r="Z74" s="12">
        <f>'Lack of Coping Capacity'!AB94</f>
        <v>8.6335737116273936</v>
      </c>
      <c r="AA74" s="12">
        <f>'Lack of Coping Capacity'!AI94</f>
        <v>4.5195373333333331</v>
      </c>
      <c r="AB74" s="12" t="str">
        <f>'Lack of Coping Capacity'!AE94</f>
        <v>x</v>
      </c>
      <c r="AC74" s="12">
        <f>'Lack of Coping Capacity'!AJ94</f>
        <v>6.5765555224803638</v>
      </c>
      <c r="AD74" s="12">
        <f t="shared" si="16"/>
        <v>7.6458618194361119</v>
      </c>
      <c r="AE74" s="12">
        <f t="shared" si="17"/>
        <v>6.9974977959233513</v>
      </c>
    </row>
    <row r="75" spans="1:31" x14ac:dyDescent="0.25">
      <c r="A75" s="117" t="s">
        <v>467</v>
      </c>
      <c r="B75" s="115" t="s">
        <v>492</v>
      </c>
      <c r="C75" s="115" t="s">
        <v>578</v>
      </c>
      <c r="D75" s="93" t="s">
        <v>493</v>
      </c>
      <c r="E75" s="12">
        <f>'Hazard &amp; Exposure'!O106</f>
        <v>0</v>
      </c>
      <c r="F75" s="12">
        <f>'Hazard &amp; Exposure'!P106</f>
        <v>6.3819763134746026</v>
      </c>
      <c r="G75" s="159">
        <f>'Hazard &amp; Exposure'!Q106</f>
        <v>3.8622531185745492</v>
      </c>
      <c r="H75" s="12">
        <f>'Hazard &amp; Exposure'!W106</f>
        <v>8</v>
      </c>
      <c r="I75" s="12">
        <f>'Hazard &amp; Exposure'!T106</f>
        <v>9.4963814816019507</v>
      </c>
      <c r="J75" s="12">
        <f>'Hazard &amp; Exposure'!AA106</f>
        <v>8</v>
      </c>
      <c r="K75" s="12">
        <f t="shared" si="12"/>
        <v>6.3622162245667599</v>
      </c>
      <c r="L75" s="12">
        <f>Vulnerability!J106</f>
        <v>8.8930594691469853</v>
      </c>
      <c r="M75" s="12">
        <f>Vulnerability!O106</f>
        <v>10</v>
      </c>
      <c r="N75" s="12">
        <f t="shared" si="13"/>
        <v>9.2620396460979908</v>
      </c>
      <c r="O75" s="12">
        <f>Vulnerability!AA106</f>
        <v>4.0421133025542328</v>
      </c>
      <c r="P75" s="12">
        <f>Vulnerability!AG106</f>
        <v>6.9985511353239165</v>
      </c>
      <c r="Q75" s="12">
        <f t="shared" si="14"/>
        <v>5.7192953263871562</v>
      </c>
      <c r="R75" s="12">
        <f t="shared" si="15"/>
        <v>7.9536037536944431</v>
      </c>
      <c r="S75" s="12">
        <f>'Lack of Coping Capacity'!F106</f>
        <v>5.7696490037761592</v>
      </c>
      <c r="T75" s="12">
        <f>'Lack of Coping Capacity'!I106</f>
        <v>9.307685232162477</v>
      </c>
      <c r="U75" s="12">
        <f>'Lack of Coping Capacity'!J106</f>
        <v>7.5386671179693181</v>
      </c>
      <c r="V75" s="12">
        <f>'Lack of Coping Capacity'!M106</f>
        <v>7.3808660795689001</v>
      </c>
      <c r="W75" s="12">
        <f>'Lack of Coping Capacity'!S106</f>
        <v>9.7328859083892603</v>
      </c>
      <c r="X75" s="12">
        <f>'Lack of Coping Capacity'!U106</f>
        <v>8.5136604607862196</v>
      </c>
      <c r="Y75" s="12">
        <f>'Lack of Coping Capacity'!V106</f>
        <v>8.5424708162481267</v>
      </c>
      <c r="Z75" s="12">
        <f>'Lack of Coping Capacity'!AB106</f>
        <v>8.6335737116273936</v>
      </c>
      <c r="AA75" s="12">
        <f>'Lack of Coping Capacity'!AI106</f>
        <v>4.5195373333333331</v>
      </c>
      <c r="AB75" s="12" t="str">
        <f>'Lack of Coping Capacity'!AE106</f>
        <v>x</v>
      </c>
      <c r="AC75" s="12">
        <f>'Lack of Coping Capacity'!AJ106</f>
        <v>6.5765555224803638</v>
      </c>
      <c r="AD75" s="12">
        <f t="shared" si="16"/>
        <v>7.6458618194361119</v>
      </c>
      <c r="AE75" s="12">
        <f t="shared" si="17"/>
        <v>7.2867344051563574</v>
      </c>
    </row>
    <row r="76" spans="1:31" x14ac:dyDescent="0.25">
      <c r="A76" s="117" t="s">
        <v>408</v>
      </c>
      <c r="B76" s="115" t="s">
        <v>423</v>
      </c>
      <c r="C76" s="115" t="s">
        <v>576</v>
      </c>
      <c r="D76" s="93" t="s">
        <v>648</v>
      </c>
      <c r="E76" s="12">
        <f>'Hazard &amp; Exposure'!O56</f>
        <v>7.5939459702245218</v>
      </c>
      <c r="F76" s="12">
        <f>'Hazard &amp; Exposure'!P56</f>
        <v>2.8092522132810083</v>
      </c>
      <c r="G76" s="159">
        <f>'Hazard &amp; Exposure'!Q56</f>
        <v>5.707500399743461</v>
      </c>
      <c r="H76" s="12">
        <f>'Hazard &amp; Exposure'!W56</f>
        <v>5</v>
      </c>
      <c r="I76" s="12">
        <f>'Hazard &amp; Exposure'!T56</f>
        <v>8.3825408014047689</v>
      </c>
      <c r="J76" s="12">
        <f>'Hazard &amp; Exposure'!AA56</f>
        <v>6.6912704007023844</v>
      </c>
      <c r="K76" s="12">
        <f t="shared" si="12"/>
        <v>6.2240773885649494</v>
      </c>
      <c r="L76" s="12">
        <f>Vulnerability!J56</f>
        <v>4.2774914243168798</v>
      </c>
      <c r="M76" s="12">
        <f>Vulnerability!O56</f>
        <v>3.7009182222222212</v>
      </c>
      <c r="N76" s="12">
        <f t="shared" si="13"/>
        <v>4.0853003569519935</v>
      </c>
      <c r="O76" s="12">
        <f>Vulnerability!AA56</f>
        <v>3.5608964337867768</v>
      </c>
      <c r="P76" s="12">
        <f>Vulnerability!AG56</f>
        <v>1.2711042119543197</v>
      </c>
      <c r="Q76" s="12">
        <f t="shared" si="14"/>
        <v>2.4917048371856083</v>
      </c>
      <c r="R76" s="12">
        <f t="shared" si="15"/>
        <v>3.3291886433778091</v>
      </c>
      <c r="S76" s="12">
        <f>'Lack of Coping Capacity'!F56</f>
        <v>8.0745683600492235</v>
      </c>
      <c r="T76" s="12">
        <f>'Lack of Coping Capacity'!I56</f>
        <v>6.7364291846752167</v>
      </c>
      <c r="U76" s="12">
        <f>'Lack of Coping Capacity'!J56</f>
        <v>7.4054987723622201</v>
      </c>
      <c r="V76" s="12">
        <f>'Lack of Coping Capacity'!M56</f>
        <v>2.5117977238917955</v>
      </c>
      <c r="W76" s="12">
        <f>'Lack of Coping Capacity'!S56</f>
        <v>7.4126894605420075</v>
      </c>
      <c r="X76" s="12">
        <f>'Lack of Coping Capacity'!U56</f>
        <v>9.8647237723687979</v>
      </c>
      <c r="Y76" s="12">
        <f>'Lack of Coping Capacity'!V56</f>
        <v>6.5964036522675329</v>
      </c>
      <c r="Z76" s="12">
        <f>'Lack of Coping Capacity'!AB56</f>
        <v>7.7216164848659146</v>
      </c>
      <c r="AA76" s="12">
        <f>'Lack of Coping Capacity'!AI56</f>
        <v>1.726022765340498</v>
      </c>
      <c r="AB76" s="12">
        <f>'Lack of Coping Capacity'!AE56</f>
        <v>8.6456</v>
      </c>
      <c r="AC76" s="12">
        <f>'Lack of Coping Capacity'!AJ56</f>
        <v>6.0310797500688045</v>
      </c>
      <c r="AD76" s="12">
        <f t="shared" si="16"/>
        <v>6.7144938170764039</v>
      </c>
      <c r="AE76" s="12">
        <f t="shared" si="17"/>
        <v>5.1817392554868213</v>
      </c>
    </row>
    <row r="77" spans="1:31" x14ac:dyDescent="0.25">
      <c r="A77" s="117" t="s">
        <v>408</v>
      </c>
      <c r="B77" s="115" t="s">
        <v>447</v>
      </c>
      <c r="C77" s="115" t="s">
        <v>576</v>
      </c>
      <c r="D77" s="93" t="s">
        <v>672</v>
      </c>
      <c r="E77" s="12">
        <f>'Hazard &amp; Exposure'!O80</f>
        <v>0.3261975132675331</v>
      </c>
      <c r="F77" s="12">
        <f>'Hazard &amp; Exposure'!P80</f>
        <v>6.5387470291997998</v>
      </c>
      <c r="G77" s="159">
        <f>'Hazard &amp; Exposure'!Q80</f>
        <v>4.0888214872564479</v>
      </c>
      <c r="H77" s="12">
        <f>'Hazard &amp; Exposure'!W80</f>
        <v>8</v>
      </c>
      <c r="I77" s="12">
        <f>'Hazard &amp; Exposure'!T80</f>
        <v>8.3825408014047689</v>
      </c>
      <c r="J77" s="12">
        <f>'Hazard &amp; Exposure'!AA80</f>
        <v>8</v>
      </c>
      <c r="K77" s="12">
        <f t="shared" si="12"/>
        <v>6.4370204750392652</v>
      </c>
      <c r="L77" s="12">
        <f>Vulnerability!J80</f>
        <v>5.4046174153207662</v>
      </c>
      <c r="M77" s="12">
        <f>Vulnerability!O80</f>
        <v>5.1488075555555559</v>
      </c>
      <c r="N77" s="12">
        <f t="shared" si="13"/>
        <v>5.3193474620656964</v>
      </c>
      <c r="O77" s="12">
        <f>Vulnerability!AA80</f>
        <v>3.5608964337867768</v>
      </c>
      <c r="P77" s="12">
        <f>Vulnerability!AG80</f>
        <v>7.999427711800486</v>
      </c>
      <c r="Q77" s="12">
        <f t="shared" si="14"/>
        <v>6.2640627646778348</v>
      </c>
      <c r="R77" s="12">
        <f t="shared" si="15"/>
        <v>5.8127190514350877</v>
      </c>
      <c r="S77" s="12">
        <f>'Lack of Coping Capacity'!F80</f>
        <v>8.0745683600492235</v>
      </c>
      <c r="T77" s="12">
        <f>'Lack of Coping Capacity'!I80</f>
        <v>6.7364291846752167</v>
      </c>
      <c r="U77" s="12">
        <f>'Lack of Coping Capacity'!J80</f>
        <v>7.4054987723622201</v>
      </c>
      <c r="V77" s="12">
        <f>'Lack of Coping Capacity'!M80</f>
        <v>2.5117977238917955</v>
      </c>
      <c r="W77" s="12">
        <f>'Lack of Coping Capacity'!S80</f>
        <v>7.4126894605420075</v>
      </c>
      <c r="X77" s="12">
        <f>'Lack of Coping Capacity'!U80</f>
        <v>9.8647237723687979</v>
      </c>
      <c r="Y77" s="12">
        <f>'Lack of Coping Capacity'!V80</f>
        <v>6.5964036522675329</v>
      </c>
      <c r="Z77" s="12">
        <f>'Lack of Coping Capacity'!AB80</f>
        <v>7.7216164848659146</v>
      </c>
      <c r="AA77" s="12">
        <f>'Lack of Coping Capacity'!AI80</f>
        <v>1.726022765340498</v>
      </c>
      <c r="AB77" s="12">
        <f>'Lack of Coping Capacity'!AE80</f>
        <v>8.6456</v>
      </c>
      <c r="AC77" s="12">
        <f>'Lack of Coping Capacity'!AJ80</f>
        <v>6.0310797500688045</v>
      </c>
      <c r="AD77" s="12">
        <f t="shared" si="16"/>
        <v>6.7144938170764039</v>
      </c>
      <c r="AE77" s="12">
        <f t="shared" si="17"/>
        <v>6.3099487775642249</v>
      </c>
    </row>
    <row r="78" spans="1:31" x14ac:dyDescent="0.25">
      <c r="A78" s="117" t="s">
        <v>408</v>
      </c>
      <c r="B78" s="115" t="s">
        <v>439</v>
      </c>
      <c r="C78" s="115" t="s">
        <v>576</v>
      </c>
      <c r="D78" s="93" t="s">
        <v>664</v>
      </c>
      <c r="E78" s="12">
        <f>'Hazard &amp; Exposure'!O72</f>
        <v>5.170573150688119</v>
      </c>
      <c r="F78" s="12">
        <f>'Hazard &amp; Exposure'!P72</f>
        <v>1.1573199770256872</v>
      </c>
      <c r="G78" s="159">
        <f>'Hazard &amp; Exposure'!Q72</f>
        <v>3.421450905214086</v>
      </c>
      <c r="H78" s="12">
        <f>'Hazard &amp; Exposure'!W72</f>
        <v>8</v>
      </c>
      <c r="I78" s="12">
        <f>'Hazard &amp; Exposure'!T72</f>
        <v>8.3825408014047689</v>
      </c>
      <c r="J78" s="12">
        <f>'Hazard &amp; Exposure'!AA72</f>
        <v>8</v>
      </c>
      <c r="K78" s="12">
        <f t="shared" si="12"/>
        <v>6.2199571258807147</v>
      </c>
      <c r="L78" s="12">
        <f>Vulnerability!J72</f>
        <v>5.4908019318519008</v>
      </c>
      <c r="M78" s="12">
        <f>Vulnerability!O72</f>
        <v>4.9713266666666662</v>
      </c>
      <c r="N78" s="12">
        <f t="shared" si="13"/>
        <v>5.3176435101234896</v>
      </c>
      <c r="O78" s="12">
        <f>Vulnerability!AA72</f>
        <v>3.5608964337867768</v>
      </c>
      <c r="P78" s="12">
        <f>Vulnerability!AG72</f>
        <v>1.2711042119543197</v>
      </c>
      <c r="Q78" s="12">
        <f t="shared" si="14"/>
        <v>2.4917048371856083</v>
      </c>
      <c r="R78" s="12">
        <f t="shared" si="15"/>
        <v>4.0445524728673989</v>
      </c>
      <c r="S78" s="12">
        <f>'Lack of Coping Capacity'!F72</f>
        <v>8.0745683600492235</v>
      </c>
      <c r="T78" s="12">
        <f>'Lack of Coping Capacity'!I72</f>
        <v>6.7364291846752167</v>
      </c>
      <c r="U78" s="12">
        <f>'Lack of Coping Capacity'!J72</f>
        <v>7.4054987723622201</v>
      </c>
      <c r="V78" s="12">
        <f>'Lack of Coping Capacity'!M72</f>
        <v>2.5117977238917955</v>
      </c>
      <c r="W78" s="12">
        <f>'Lack of Coping Capacity'!S72</f>
        <v>7.4126894605420075</v>
      </c>
      <c r="X78" s="12">
        <f>'Lack of Coping Capacity'!U72</f>
        <v>9.8647237723687979</v>
      </c>
      <c r="Y78" s="12">
        <f>'Lack of Coping Capacity'!V72</f>
        <v>6.5964036522675329</v>
      </c>
      <c r="Z78" s="12">
        <f>'Lack of Coping Capacity'!AB72</f>
        <v>7.7216164848659146</v>
      </c>
      <c r="AA78" s="12">
        <f>'Lack of Coping Capacity'!AI72</f>
        <v>1.726022765340498</v>
      </c>
      <c r="AB78" s="12">
        <f>'Lack of Coping Capacity'!AE72</f>
        <v>8.6456</v>
      </c>
      <c r="AC78" s="12">
        <f>'Lack of Coping Capacity'!AJ72</f>
        <v>6.0310797500688045</v>
      </c>
      <c r="AD78" s="12">
        <f t="shared" si="16"/>
        <v>6.7144938170764039</v>
      </c>
      <c r="AE78" s="12">
        <f t="shared" si="17"/>
        <v>5.5278601578654856</v>
      </c>
    </row>
    <row r="79" spans="1:31" x14ac:dyDescent="0.25">
      <c r="A79" s="117" t="s">
        <v>467</v>
      </c>
      <c r="B79" s="115" t="s">
        <v>500</v>
      </c>
      <c r="C79" s="115" t="s">
        <v>578</v>
      </c>
      <c r="D79" s="93" t="s">
        <v>501</v>
      </c>
      <c r="E79" s="12">
        <f>'Hazard &amp; Exposure'!O110</f>
        <v>1.94802667329691</v>
      </c>
      <c r="F79" s="12">
        <f>'Hazard &amp; Exposure'!P110</f>
        <v>6.3699221753934951</v>
      </c>
      <c r="G79" s="159">
        <f>'Hazard &amp; Exposure'!Q110</f>
        <v>4.5199113300688945</v>
      </c>
      <c r="H79" s="12">
        <f>'Hazard &amp; Exposure'!W110</f>
        <v>6</v>
      </c>
      <c r="I79" s="12">
        <f>'Hazard &amp; Exposure'!T110</f>
        <v>9.4963814816019507</v>
      </c>
      <c r="J79" s="12">
        <f>'Hazard &amp; Exposure'!AA110</f>
        <v>7.7481907408009754</v>
      </c>
      <c r="K79" s="12">
        <f t="shared" si="12"/>
        <v>6.4030669303019963</v>
      </c>
      <c r="L79" s="12">
        <f>Vulnerability!J110</f>
        <v>8.8394390777487928</v>
      </c>
      <c r="M79" s="12">
        <f>Vulnerability!O110</f>
        <v>10</v>
      </c>
      <c r="N79" s="12">
        <f t="shared" si="13"/>
        <v>9.2262927184991952</v>
      </c>
      <c r="O79" s="12">
        <f>Vulnerability!AA110</f>
        <v>3.1946135814121011</v>
      </c>
      <c r="P79" s="12">
        <f>Vulnerability!AG110</f>
        <v>5.1821676860706756</v>
      </c>
      <c r="Q79" s="12">
        <f t="shared" si="14"/>
        <v>4.2600917724974927</v>
      </c>
      <c r="R79" s="12">
        <f t="shared" si="15"/>
        <v>7.5176549394625862</v>
      </c>
      <c r="S79" s="12">
        <f>'Lack of Coping Capacity'!F110</f>
        <v>5.7696490037761592</v>
      </c>
      <c r="T79" s="12">
        <f>'Lack of Coping Capacity'!I110</f>
        <v>9.307685232162477</v>
      </c>
      <c r="U79" s="12">
        <f>'Lack of Coping Capacity'!J110</f>
        <v>7.5386671179693181</v>
      </c>
      <c r="V79" s="12">
        <f>'Lack of Coping Capacity'!M110</f>
        <v>7.3808660795689001</v>
      </c>
      <c r="W79" s="12">
        <f>'Lack of Coping Capacity'!S110</f>
        <v>9.7328859083892603</v>
      </c>
      <c r="X79" s="12">
        <f>'Lack of Coping Capacity'!U110</f>
        <v>8.5136604607862196</v>
      </c>
      <c r="Y79" s="12">
        <f>'Lack of Coping Capacity'!V110</f>
        <v>8.5424708162481267</v>
      </c>
      <c r="Z79" s="12">
        <f>'Lack of Coping Capacity'!AB110</f>
        <v>8.6335737116273936</v>
      </c>
      <c r="AA79" s="12">
        <f>'Lack of Coping Capacity'!AI110</f>
        <v>4.5195373333333331</v>
      </c>
      <c r="AB79" s="12" t="str">
        <f>'Lack of Coping Capacity'!AE110</f>
        <v>x</v>
      </c>
      <c r="AC79" s="12">
        <f>'Lack of Coping Capacity'!AJ110</f>
        <v>6.5765555224803638</v>
      </c>
      <c r="AD79" s="12">
        <f t="shared" si="16"/>
        <v>7.6458618194361119</v>
      </c>
      <c r="AE79" s="12">
        <f t="shared" si="17"/>
        <v>7.1663655608576464</v>
      </c>
    </row>
    <row r="80" spans="1:31" x14ac:dyDescent="0.25">
      <c r="A80" s="117" t="s">
        <v>408</v>
      </c>
      <c r="B80" s="115" t="s">
        <v>449</v>
      </c>
      <c r="C80" s="115" t="s">
        <v>576</v>
      </c>
      <c r="D80" s="93" t="s">
        <v>674</v>
      </c>
      <c r="E80" s="12">
        <f>'Hazard &amp; Exposure'!O82</f>
        <v>5.8624130092753273</v>
      </c>
      <c r="F80" s="12">
        <f>'Hazard &amp; Exposure'!P82</f>
        <v>6.6700371250681121</v>
      </c>
      <c r="G80" s="159">
        <f>'Hazard &amp; Exposure'!Q82</f>
        <v>6.2830828799740797</v>
      </c>
      <c r="H80" s="12">
        <f>'Hazard &amp; Exposure'!W82</f>
        <v>5</v>
      </c>
      <c r="I80" s="12">
        <f>'Hazard &amp; Exposure'!T82</f>
        <v>8.3825408014047689</v>
      </c>
      <c r="J80" s="12">
        <f>'Hazard &amp; Exposure'!AA82</f>
        <v>6.6912704007023844</v>
      </c>
      <c r="K80" s="12">
        <f t="shared" si="12"/>
        <v>6.4916830375307804</v>
      </c>
      <c r="L80" s="12">
        <f>Vulnerability!J82</f>
        <v>5.5609440644647652</v>
      </c>
      <c r="M80" s="12">
        <f>Vulnerability!O82</f>
        <v>4.4533666666666667</v>
      </c>
      <c r="N80" s="12">
        <f t="shared" si="13"/>
        <v>5.1917515985320657</v>
      </c>
      <c r="O80" s="12">
        <f>Vulnerability!AA82</f>
        <v>3.5608964337867768</v>
      </c>
      <c r="P80" s="12">
        <f>Vulnerability!AG82</f>
        <v>4.6467511950681484</v>
      </c>
      <c r="Q80" s="12">
        <f t="shared" si="14"/>
        <v>4.1248885897756598</v>
      </c>
      <c r="R80" s="12">
        <f t="shared" si="15"/>
        <v>4.6804064266569281</v>
      </c>
      <c r="S80" s="12">
        <f>'Lack of Coping Capacity'!F82</f>
        <v>8.0745683600492235</v>
      </c>
      <c r="T80" s="12">
        <f>'Lack of Coping Capacity'!I82</f>
        <v>6.7364291846752167</v>
      </c>
      <c r="U80" s="12">
        <f>'Lack of Coping Capacity'!J82</f>
        <v>7.4054987723622201</v>
      </c>
      <c r="V80" s="12">
        <f>'Lack of Coping Capacity'!M82</f>
        <v>2.5117977238917955</v>
      </c>
      <c r="W80" s="12">
        <f>'Lack of Coping Capacity'!S82</f>
        <v>7.4126894605420075</v>
      </c>
      <c r="X80" s="12">
        <f>'Lack of Coping Capacity'!U82</f>
        <v>9.8647237723687979</v>
      </c>
      <c r="Y80" s="12">
        <f>'Lack of Coping Capacity'!V82</f>
        <v>6.5964036522675329</v>
      </c>
      <c r="Z80" s="12">
        <f>'Lack of Coping Capacity'!AB82</f>
        <v>7.7216164848659146</v>
      </c>
      <c r="AA80" s="12">
        <f>'Lack of Coping Capacity'!AI82</f>
        <v>1.726022765340498</v>
      </c>
      <c r="AB80" s="12">
        <f>'Lack of Coping Capacity'!AE82</f>
        <v>8.6456</v>
      </c>
      <c r="AC80" s="12">
        <f>'Lack of Coping Capacity'!AJ82</f>
        <v>6.0310797500688045</v>
      </c>
      <c r="AD80" s="12">
        <f t="shared" si="16"/>
        <v>6.7144938170764039</v>
      </c>
      <c r="AE80" s="12">
        <f t="shared" si="17"/>
        <v>5.8868736868287384</v>
      </c>
    </row>
    <row r="81" spans="1:31" x14ac:dyDescent="0.25">
      <c r="A81" s="117" t="s">
        <v>408</v>
      </c>
      <c r="B81" s="115" t="s">
        <v>411</v>
      </c>
      <c r="C81" s="115" t="s">
        <v>576</v>
      </c>
      <c r="D81" s="93" t="s">
        <v>636</v>
      </c>
      <c r="E81" s="12">
        <f>'Hazard &amp; Exposure'!O44</f>
        <v>8.8841622600926797</v>
      </c>
      <c r="F81" s="12">
        <f>'Hazard &amp; Exposure'!P44</f>
        <v>0.96325618840502225</v>
      </c>
      <c r="G81" s="159">
        <f>'Hazard &amp; Exposure'!Q44</f>
        <v>6.3572964470311097</v>
      </c>
      <c r="H81" s="12">
        <f>'Hazard &amp; Exposure'!W44</f>
        <v>3</v>
      </c>
      <c r="I81" s="12">
        <f>'Hazard &amp; Exposure'!T44</f>
        <v>8.3825408014047689</v>
      </c>
      <c r="J81" s="12">
        <f>'Hazard &amp; Exposure'!AA44</f>
        <v>5.6912704007023844</v>
      </c>
      <c r="K81" s="12">
        <f t="shared" si="12"/>
        <v>6.0351956029373612</v>
      </c>
      <c r="L81" s="12">
        <f>Vulnerability!J44</f>
        <v>5.9136011094123386</v>
      </c>
      <c r="M81" s="12">
        <f>Vulnerability!O44</f>
        <v>4.6335191111111111</v>
      </c>
      <c r="N81" s="12">
        <f t="shared" si="13"/>
        <v>5.4869071099785955</v>
      </c>
      <c r="O81" s="12">
        <f>Vulnerability!AA44</f>
        <v>3.5608964337867768</v>
      </c>
      <c r="P81" s="12">
        <f>Vulnerability!AG44</f>
        <v>1.2711042119543197</v>
      </c>
      <c r="Q81" s="12">
        <f t="shared" si="14"/>
        <v>2.4917048371856083</v>
      </c>
      <c r="R81" s="12">
        <f t="shared" si="15"/>
        <v>4.1485469819128378</v>
      </c>
      <c r="S81" s="12">
        <f>'Lack of Coping Capacity'!F44</f>
        <v>8.0745683600492235</v>
      </c>
      <c r="T81" s="12">
        <f>'Lack of Coping Capacity'!I44</f>
        <v>6.7364291846752167</v>
      </c>
      <c r="U81" s="12">
        <f>'Lack of Coping Capacity'!J44</f>
        <v>7.4054987723622201</v>
      </c>
      <c r="V81" s="12">
        <f>'Lack of Coping Capacity'!M44</f>
        <v>2.5117977238917955</v>
      </c>
      <c r="W81" s="12">
        <f>'Lack of Coping Capacity'!S44</f>
        <v>7.4126894605420075</v>
      </c>
      <c r="X81" s="12">
        <f>'Lack of Coping Capacity'!U44</f>
        <v>9.8647237723687979</v>
      </c>
      <c r="Y81" s="12">
        <f>'Lack of Coping Capacity'!V44</f>
        <v>6.5964036522675329</v>
      </c>
      <c r="Z81" s="12">
        <f>'Lack of Coping Capacity'!AB44</f>
        <v>7.7216164848659146</v>
      </c>
      <c r="AA81" s="12">
        <f>'Lack of Coping Capacity'!AI44</f>
        <v>1.726022765340498</v>
      </c>
      <c r="AB81" s="12">
        <f>'Lack of Coping Capacity'!AE44</f>
        <v>8.6456</v>
      </c>
      <c r="AC81" s="12">
        <f>'Lack of Coping Capacity'!AJ44</f>
        <v>6.0310797500688045</v>
      </c>
      <c r="AD81" s="12">
        <f t="shared" si="16"/>
        <v>6.7144938170764039</v>
      </c>
      <c r="AE81" s="12">
        <f t="shared" si="17"/>
        <v>5.5190824294128591</v>
      </c>
    </row>
    <row r="82" spans="1:31" x14ac:dyDescent="0.25">
      <c r="A82" s="117" t="s">
        <v>408</v>
      </c>
      <c r="B82" s="115" t="s">
        <v>414</v>
      </c>
      <c r="C82" s="115" t="s">
        <v>576</v>
      </c>
      <c r="D82" s="93" t="s">
        <v>639</v>
      </c>
      <c r="E82" s="12">
        <f>'Hazard &amp; Exposure'!O47</f>
        <v>6.0599319240515346</v>
      </c>
      <c r="F82" s="12">
        <f>'Hazard &amp; Exposure'!P47</f>
        <v>6.5668340044267959</v>
      </c>
      <c r="G82" s="159">
        <f>'Hazard &amp; Exposure'!Q47</f>
        <v>6.3200822089320479</v>
      </c>
      <c r="H82" s="12">
        <f>'Hazard &amp; Exposure'!W47</f>
        <v>5</v>
      </c>
      <c r="I82" s="12">
        <f>'Hazard &amp; Exposure'!T47</f>
        <v>8.3825408014047689</v>
      </c>
      <c r="J82" s="12">
        <f>'Hazard &amp; Exposure'!AA47</f>
        <v>6.6912704007023844</v>
      </c>
      <c r="K82" s="12">
        <f t="shared" si="12"/>
        <v>6.5094174461008194</v>
      </c>
      <c r="L82" s="12">
        <f>Vulnerability!J47</f>
        <v>5.210528815823908</v>
      </c>
      <c r="M82" s="12">
        <f>Vulnerability!O47</f>
        <v>4.1465888888888882</v>
      </c>
      <c r="N82" s="12">
        <f t="shared" si="13"/>
        <v>4.8558821735122351</v>
      </c>
      <c r="O82" s="12">
        <f>Vulnerability!AA47</f>
        <v>3.5608964337867768</v>
      </c>
      <c r="P82" s="12">
        <f>Vulnerability!AG47</f>
        <v>2.7860379913242275</v>
      </c>
      <c r="Q82" s="12">
        <f t="shared" si="14"/>
        <v>3.1829278855030396</v>
      </c>
      <c r="R82" s="12">
        <f t="shared" si="15"/>
        <v>4.0689096701262244</v>
      </c>
      <c r="S82" s="12">
        <f>'Lack of Coping Capacity'!F47</f>
        <v>8.0745683600492235</v>
      </c>
      <c r="T82" s="12">
        <f>'Lack of Coping Capacity'!I47</f>
        <v>6.7364291846752167</v>
      </c>
      <c r="U82" s="12">
        <f>'Lack of Coping Capacity'!J47</f>
        <v>7.4054987723622201</v>
      </c>
      <c r="V82" s="12">
        <f>'Lack of Coping Capacity'!M47</f>
        <v>2.5117977238917955</v>
      </c>
      <c r="W82" s="12">
        <f>'Lack of Coping Capacity'!S47</f>
        <v>7.4126894605420075</v>
      </c>
      <c r="X82" s="12">
        <f>'Lack of Coping Capacity'!U47</f>
        <v>9.8647237723687979</v>
      </c>
      <c r="Y82" s="12">
        <f>'Lack of Coping Capacity'!V47</f>
        <v>6.5964036522675329</v>
      </c>
      <c r="Z82" s="12">
        <f>'Lack of Coping Capacity'!AB47</f>
        <v>7.7216164848659146</v>
      </c>
      <c r="AA82" s="12">
        <f>'Lack of Coping Capacity'!AI47</f>
        <v>1.726022765340498</v>
      </c>
      <c r="AB82" s="12">
        <f>'Lack of Coping Capacity'!AE47</f>
        <v>8.6456</v>
      </c>
      <c r="AC82" s="12">
        <f>'Lack of Coping Capacity'!AJ47</f>
        <v>6.0310797500688045</v>
      </c>
      <c r="AD82" s="12">
        <f t="shared" si="16"/>
        <v>6.7144938170764039</v>
      </c>
      <c r="AE82" s="12">
        <f t="shared" si="17"/>
        <v>5.6235576300697989</v>
      </c>
    </row>
    <row r="83" spans="1:31" x14ac:dyDescent="0.25">
      <c r="A83" s="117" t="s">
        <v>467</v>
      </c>
      <c r="B83" s="115" t="s">
        <v>498</v>
      </c>
      <c r="C83" s="115" t="s">
        <v>578</v>
      </c>
      <c r="D83" s="93" t="s">
        <v>499</v>
      </c>
      <c r="E83" s="12">
        <f>'Hazard &amp; Exposure'!O109</f>
        <v>0</v>
      </c>
      <c r="F83" s="12">
        <f>'Hazard &amp; Exposure'!P109</f>
        <v>6.2556150621199151</v>
      </c>
      <c r="G83" s="159">
        <f>'Hazard &amp; Exposure'!Q109</f>
        <v>3.7660477281373348</v>
      </c>
      <c r="H83" s="12">
        <f>'Hazard &amp; Exposure'!W109</f>
        <v>7</v>
      </c>
      <c r="I83" s="12">
        <f>'Hazard &amp; Exposure'!T109</f>
        <v>9.4963814816019507</v>
      </c>
      <c r="J83" s="12">
        <f>'Hazard &amp; Exposure'!AA109</f>
        <v>8.2481907408009754</v>
      </c>
      <c r="K83" s="12">
        <f t="shared" si="12"/>
        <v>6.5254452292205976</v>
      </c>
      <c r="L83" s="12">
        <f>Vulnerability!J109</f>
        <v>8.8930594691469853</v>
      </c>
      <c r="M83" s="12">
        <f>Vulnerability!O109</f>
        <v>10</v>
      </c>
      <c r="N83" s="12">
        <f t="shared" si="13"/>
        <v>9.2620396460979908</v>
      </c>
      <c r="O83" s="12">
        <f>Vulnerability!AA109</f>
        <v>2.3245527968734851</v>
      </c>
      <c r="P83" s="12">
        <f>Vulnerability!AG109</f>
        <v>5.3383329041104721</v>
      </c>
      <c r="Q83" s="12">
        <f t="shared" si="14"/>
        <v>3.9891133330314776</v>
      </c>
      <c r="R83" s="12">
        <f t="shared" si="15"/>
        <v>7.4821880111634282</v>
      </c>
      <c r="S83" s="12">
        <f>'Lack of Coping Capacity'!F109</f>
        <v>5.7696490037761592</v>
      </c>
      <c r="T83" s="12">
        <f>'Lack of Coping Capacity'!I109</f>
        <v>9.307685232162477</v>
      </c>
      <c r="U83" s="12">
        <f>'Lack of Coping Capacity'!J109</f>
        <v>7.5386671179693181</v>
      </c>
      <c r="V83" s="12">
        <f>'Lack of Coping Capacity'!M109</f>
        <v>7.3808660795689001</v>
      </c>
      <c r="W83" s="12">
        <f>'Lack of Coping Capacity'!S109</f>
        <v>9.7328859083892603</v>
      </c>
      <c r="X83" s="12">
        <f>'Lack of Coping Capacity'!U109</f>
        <v>8.5136604607862196</v>
      </c>
      <c r="Y83" s="12">
        <f>'Lack of Coping Capacity'!V109</f>
        <v>8.5424708162481267</v>
      </c>
      <c r="Z83" s="12">
        <f>'Lack of Coping Capacity'!AB109</f>
        <v>8.6335737116273936</v>
      </c>
      <c r="AA83" s="12">
        <f>'Lack of Coping Capacity'!AI109</f>
        <v>4.5195373333333331</v>
      </c>
      <c r="AB83" s="12" t="str">
        <f>'Lack of Coping Capacity'!AE109</f>
        <v>x</v>
      </c>
      <c r="AC83" s="12">
        <f>'Lack of Coping Capacity'!AJ109</f>
        <v>6.5765555224803638</v>
      </c>
      <c r="AD83" s="12">
        <f t="shared" si="16"/>
        <v>7.6458618194361119</v>
      </c>
      <c r="AE83" s="12">
        <f t="shared" si="17"/>
        <v>7.2003742515529305</v>
      </c>
    </row>
    <row r="84" spans="1:31" x14ac:dyDescent="0.25">
      <c r="A84" s="117" t="s">
        <v>408</v>
      </c>
      <c r="B84" s="115" t="s">
        <v>444</v>
      </c>
      <c r="C84" s="115" t="s">
        <v>576</v>
      </c>
      <c r="D84" s="93" t="s">
        <v>669</v>
      </c>
      <c r="E84" s="12">
        <f>'Hazard &amp; Exposure'!O77</f>
        <v>8.1233559682319996</v>
      </c>
      <c r="F84" s="12">
        <f>'Hazard &amp; Exposure'!P77</f>
        <v>2.582381617671734</v>
      </c>
      <c r="G84" s="159">
        <f>'Hazard &amp; Exposure'!Q77</f>
        <v>6.0631654491365028</v>
      </c>
      <c r="H84" s="12">
        <f>'Hazard &amp; Exposure'!W77</f>
        <v>5</v>
      </c>
      <c r="I84" s="12">
        <f>'Hazard &amp; Exposure'!T77</f>
        <v>8.3825408014047689</v>
      </c>
      <c r="J84" s="12">
        <f>'Hazard &amp; Exposure'!AA77</f>
        <v>6.6912704007023844</v>
      </c>
      <c r="K84" s="12">
        <f t="shared" si="12"/>
        <v>6.3876467320005297</v>
      </c>
      <c r="L84" s="12">
        <f>Vulnerability!J77</f>
        <v>4.073264833205207</v>
      </c>
      <c r="M84" s="12">
        <f>Vulnerability!O77</f>
        <v>3.5948071111111108</v>
      </c>
      <c r="N84" s="12">
        <f t="shared" si="13"/>
        <v>3.9137789258405085</v>
      </c>
      <c r="O84" s="12">
        <f>Vulnerability!AA77</f>
        <v>3.5608964337867768</v>
      </c>
      <c r="P84" s="12">
        <f>Vulnerability!AG77</f>
        <v>3.6580985801293902</v>
      </c>
      <c r="Q84" s="12">
        <f t="shared" si="14"/>
        <v>3.6096549456922675</v>
      </c>
      <c r="R84" s="12">
        <f t="shared" si="15"/>
        <v>3.76329021673939</v>
      </c>
      <c r="S84" s="12">
        <f>'Lack of Coping Capacity'!F77</f>
        <v>8.0745683600492235</v>
      </c>
      <c r="T84" s="12">
        <f>'Lack of Coping Capacity'!I77</f>
        <v>6.7364291846752167</v>
      </c>
      <c r="U84" s="12">
        <f>'Lack of Coping Capacity'!J77</f>
        <v>7.4054987723622201</v>
      </c>
      <c r="V84" s="12">
        <f>'Lack of Coping Capacity'!M77</f>
        <v>2.5117977238917955</v>
      </c>
      <c r="W84" s="12">
        <f>'Lack of Coping Capacity'!S77</f>
        <v>7.4126894605420075</v>
      </c>
      <c r="X84" s="12">
        <f>'Lack of Coping Capacity'!U77</f>
        <v>9.8647237723687979</v>
      </c>
      <c r="Y84" s="12">
        <f>'Lack of Coping Capacity'!V77</f>
        <v>6.5964036522675329</v>
      </c>
      <c r="Z84" s="12">
        <f>'Lack of Coping Capacity'!AB77</f>
        <v>7.7216164848659146</v>
      </c>
      <c r="AA84" s="12">
        <f>'Lack of Coping Capacity'!AI77</f>
        <v>1.726022765340498</v>
      </c>
      <c r="AB84" s="12">
        <f>'Lack of Coping Capacity'!AE77</f>
        <v>8.6456</v>
      </c>
      <c r="AC84" s="12">
        <f>'Lack of Coping Capacity'!AJ77</f>
        <v>6.0310797500688045</v>
      </c>
      <c r="AD84" s="12">
        <f t="shared" si="16"/>
        <v>6.7144938170764039</v>
      </c>
      <c r="AE84" s="12">
        <f t="shared" si="17"/>
        <v>5.444700054946785</v>
      </c>
    </row>
    <row r="85" spans="1:31" x14ac:dyDescent="0.25">
      <c r="A85" s="117" t="s">
        <v>408</v>
      </c>
      <c r="B85" s="115" t="s">
        <v>426</v>
      </c>
      <c r="C85" s="115" t="s">
        <v>576</v>
      </c>
      <c r="D85" s="93" t="s">
        <v>651</v>
      </c>
      <c r="E85" s="12">
        <f>'Hazard &amp; Exposure'!O59</f>
        <v>6.2080488912995069</v>
      </c>
      <c r="F85" s="12">
        <f>'Hazard &amp; Exposure'!P59</f>
        <v>6.9294962457196219</v>
      </c>
      <c r="G85" s="159">
        <f>'Hazard &amp; Exposure'!Q59</f>
        <v>6.5831184140870089</v>
      </c>
      <c r="H85" s="12">
        <f>'Hazard &amp; Exposure'!W59</f>
        <v>5</v>
      </c>
      <c r="I85" s="12">
        <f>'Hazard &amp; Exposure'!T59</f>
        <v>8.3825408014047689</v>
      </c>
      <c r="J85" s="12">
        <f>'Hazard &amp; Exposure'!AA59</f>
        <v>6.6912704007023844</v>
      </c>
      <c r="K85" s="12">
        <f t="shared" si="12"/>
        <v>6.6375212261595928</v>
      </c>
      <c r="L85" s="12">
        <f>Vulnerability!J59</f>
        <v>5.9029996117167807</v>
      </c>
      <c r="M85" s="12">
        <f>Vulnerability!O59</f>
        <v>4.4158111111111111</v>
      </c>
      <c r="N85" s="12">
        <f t="shared" si="13"/>
        <v>5.4072701115148902</v>
      </c>
      <c r="O85" s="12">
        <f>Vulnerability!AA59</f>
        <v>3.5608964337867768</v>
      </c>
      <c r="P85" s="12">
        <f>Vulnerability!AG59</f>
        <v>6.2694151024409166</v>
      </c>
      <c r="Q85" s="12">
        <f t="shared" si="14"/>
        <v>5.0649681862536156</v>
      </c>
      <c r="R85" s="12">
        <f t="shared" si="15"/>
        <v>5.2386126731189142</v>
      </c>
      <c r="S85" s="12">
        <f>'Lack of Coping Capacity'!F59</f>
        <v>8.0745683600492235</v>
      </c>
      <c r="T85" s="12">
        <f>'Lack of Coping Capacity'!I59</f>
        <v>6.7364291846752167</v>
      </c>
      <c r="U85" s="12">
        <f>'Lack of Coping Capacity'!J59</f>
        <v>7.4054987723622201</v>
      </c>
      <c r="V85" s="12">
        <f>'Lack of Coping Capacity'!M59</f>
        <v>2.5117977238917955</v>
      </c>
      <c r="W85" s="12">
        <f>'Lack of Coping Capacity'!S59</f>
        <v>7.4126894605420075</v>
      </c>
      <c r="X85" s="12">
        <f>'Lack of Coping Capacity'!U59</f>
        <v>9.8647237723687979</v>
      </c>
      <c r="Y85" s="12">
        <f>'Lack of Coping Capacity'!V59</f>
        <v>6.5964036522675329</v>
      </c>
      <c r="Z85" s="12">
        <f>'Lack of Coping Capacity'!AB59</f>
        <v>7.7216164848659146</v>
      </c>
      <c r="AA85" s="12">
        <f>'Lack of Coping Capacity'!AI59</f>
        <v>1.726022765340498</v>
      </c>
      <c r="AB85" s="12">
        <f>'Lack of Coping Capacity'!AE59</f>
        <v>8.6456</v>
      </c>
      <c r="AC85" s="12">
        <f>'Lack of Coping Capacity'!AJ59</f>
        <v>6.0310797500688045</v>
      </c>
      <c r="AD85" s="12">
        <f t="shared" si="16"/>
        <v>6.7144938170764039</v>
      </c>
      <c r="AE85" s="12">
        <f t="shared" si="17"/>
        <v>6.1576050558251447</v>
      </c>
    </row>
    <row r="86" spans="1:31" x14ac:dyDescent="0.25">
      <c r="A86" s="117" t="s">
        <v>560</v>
      </c>
      <c r="B86" s="115" t="s">
        <v>566</v>
      </c>
      <c r="C86" s="115" t="s">
        <v>581</v>
      </c>
      <c r="D86" s="93" t="s">
        <v>612</v>
      </c>
      <c r="E86" s="12">
        <f>'Hazard &amp; Exposure'!O144</f>
        <v>5.2187309958961405</v>
      </c>
      <c r="F86" s="12">
        <f>'Hazard &amp; Exposure'!P144</f>
        <v>9.2183951614628725</v>
      </c>
      <c r="G86" s="159">
        <f>'Hazard &amp; Exposure'!Q144</f>
        <v>7.7715599697962334</v>
      </c>
      <c r="H86" s="12">
        <f>'Hazard &amp; Exposure'!W144</f>
        <v>0</v>
      </c>
      <c r="I86" s="12">
        <f>'Hazard &amp; Exposure'!T144</f>
        <v>5.1992551517796564</v>
      </c>
      <c r="J86" s="12">
        <f>'Hazard &amp; Exposure'!AA144</f>
        <v>2.5996275758898282</v>
      </c>
      <c r="K86" s="12">
        <f t="shared" si="12"/>
        <v>5.7796446567168767</v>
      </c>
      <c r="L86" s="12">
        <f>Vulnerability!J144</f>
        <v>9.0182979215182808</v>
      </c>
      <c r="M86" s="12">
        <f>Vulnerability!O144</f>
        <v>5.9831623761683224</v>
      </c>
      <c r="N86" s="12">
        <f t="shared" si="13"/>
        <v>8.006586073068295</v>
      </c>
      <c r="O86" s="12">
        <f>Vulnerability!AA144</f>
        <v>1.9816394870987146</v>
      </c>
      <c r="P86" s="12">
        <f>Vulnerability!AG144</f>
        <v>2.0475872949668963</v>
      </c>
      <c r="Q86" s="12">
        <f t="shared" si="14"/>
        <v>2.0146731547982575</v>
      </c>
      <c r="R86" s="12">
        <f t="shared" si="15"/>
        <v>5.7969677754100246</v>
      </c>
      <c r="S86" s="12">
        <f>'Lack of Coping Capacity'!F144</f>
        <v>6.4913798911920617</v>
      </c>
      <c r="T86" s="12">
        <f>'Lack of Coping Capacity'!I144</f>
        <v>6.7801740288734438</v>
      </c>
      <c r="U86" s="12">
        <f>'Lack of Coping Capacity'!J144</f>
        <v>6.6357769600327527</v>
      </c>
      <c r="V86" s="12">
        <f>'Lack of Coping Capacity'!M144</f>
        <v>6.1754654630968755</v>
      </c>
      <c r="W86" s="12">
        <f>'Lack of Coping Capacity'!S144</f>
        <v>7.7079791200596572</v>
      </c>
      <c r="X86" s="12">
        <f>'Lack of Coping Capacity'!U144</f>
        <v>6.94</v>
      </c>
      <c r="Y86" s="12">
        <f>'Lack of Coping Capacity'!V144</f>
        <v>6.9411481943855113</v>
      </c>
      <c r="Z86" s="12">
        <f>'Lack of Coping Capacity'!AB144</f>
        <v>6.1989116448528341</v>
      </c>
      <c r="AA86" s="12">
        <f>'Lack of Coping Capacity'!AI144</f>
        <v>4.6060217842026754</v>
      </c>
      <c r="AB86" s="12">
        <f>'Lack of Coping Capacity'!AE144</f>
        <v>9.7703999999999986</v>
      </c>
      <c r="AC86" s="12">
        <f>'Lack of Coping Capacity'!AJ144</f>
        <v>6.8584444763518357</v>
      </c>
      <c r="AD86" s="12">
        <f t="shared" si="16"/>
        <v>6.8137056302967398</v>
      </c>
      <c r="AE86" s="12">
        <f t="shared" si="17"/>
        <v>6.11169674681845</v>
      </c>
    </row>
    <row r="87" spans="1:31" x14ac:dyDescent="0.25">
      <c r="A87" s="117" t="s">
        <v>408</v>
      </c>
      <c r="B87" s="115" t="s">
        <v>440</v>
      </c>
      <c r="C87" s="115" t="s">
        <v>576</v>
      </c>
      <c r="D87" s="93" t="s">
        <v>665</v>
      </c>
      <c r="E87" s="12">
        <f>'Hazard &amp; Exposure'!O73</f>
        <v>6.2118041243416746</v>
      </c>
      <c r="F87" s="12">
        <f>'Hazard &amp; Exposure'!P73</f>
        <v>0.94422096260719868</v>
      </c>
      <c r="G87" s="159">
        <f>'Hazard &amp; Exposure'!Q73</f>
        <v>4.0534403949128439</v>
      </c>
      <c r="H87" s="12">
        <f>'Hazard &amp; Exposure'!W73</f>
        <v>8</v>
      </c>
      <c r="I87" s="12">
        <f>'Hazard &amp; Exposure'!T73</f>
        <v>8.3825408014047689</v>
      </c>
      <c r="J87" s="12">
        <f>'Hazard &amp; Exposure'!AA73</f>
        <v>8</v>
      </c>
      <c r="K87" s="12">
        <f t="shared" si="12"/>
        <v>6.4252603042962022</v>
      </c>
      <c r="L87" s="12">
        <f>Vulnerability!J73</f>
        <v>5.5558402210537849</v>
      </c>
      <c r="M87" s="12">
        <f>Vulnerability!O73</f>
        <v>4.7318822222222217</v>
      </c>
      <c r="N87" s="12">
        <f t="shared" si="13"/>
        <v>5.2811875547765972</v>
      </c>
      <c r="O87" s="12">
        <f>Vulnerability!AA73</f>
        <v>3.5608964337867768</v>
      </c>
      <c r="P87" s="12">
        <f>Vulnerability!AG73</f>
        <v>1.2711042119543197</v>
      </c>
      <c r="Q87" s="12">
        <f t="shared" si="14"/>
        <v>2.4917048371856083</v>
      </c>
      <c r="R87" s="12">
        <f t="shared" si="15"/>
        <v>4.0223538379372163</v>
      </c>
      <c r="S87" s="12">
        <f>'Lack of Coping Capacity'!F73</f>
        <v>8.0745683600492235</v>
      </c>
      <c r="T87" s="12">
        <f>'Lack of Coping Capacity'!I73</f>
        <v>6.7364291846752167</v>
      </c>
      <c r="U87" s="12">
        <f>'Lack of Coping Capacity'!J73</f>
        <v>7.4054987723622201</v>
      </c>
      <c r="V87" s="12">
        <f>'Lack of Coping Capacity'!M73</f>
        <v>2.5117977238917955</v>
      </c>
      <c r="W87" s="12">
        <f>'Lack of Coping Capacity'!S73</f>
        <v>7.4126894605420075</v>
      </c>
      <c r="X87" s="12">
        <f>'Lack of Coping Capacity'!U73</f>
        <v>9.8647237723687979</v>
      </c>
      <c r="Y87" s="12">
        <f>'Lack of Coping Capacity'!V73</f>
        <v>6.5964036522675329</v>
      </c>
      <c r="Z87" s="12">
        <f>'Lack of Coping Capacity'!AB73</f>
        <v>7.7216164848659146</v>
      </c>
      <c r="AA87" s="12">
        <f>'Lack of Coping Capacity'!AI73</f>
        <v>1.726022765340498</v>
      </c>
      <c r="AB87" s="12">
        <f>'Lack of Coping Capacity'!AE73</f>
        <v>8.6456</v>
      </c>
      <c r="AC87" s="12">
        <f>'Lack of Coping Capacity'!AJ73</f>
        <v>6.0310797500688045</v>
      </c>
      <c r="AD87" s="12">
        <f t="shared" si="16"/>
        <v>6.7144938170764039</v>
      </c>
      <c r="AE87" s="12">
        <f t="shared" si="17"/>
        <v>5.5777805768373074</v>
      </c>
    </row>
    <row r="88" spans="1:31" x14ac:dyDescent="0.25">
      <c r="A88" s="117" t="s">
        <v>467</v>
      </c>
      <c r="B88" s="115" t="s">
        <v>478</v>
      </c>
      <c r="C88" s="115" t="s">
        <v>578</v>
      </c>
      <c r="D88" s="93" t="s">
        <v>479</v>
      </c>
      <c r="E88" s="12">
        <f>'Hazard &amp; Exposure'!O99</f>
        <v>1.8294043007904037</v>
      </c>
      <c r="F88" s="12">
        <f>'Hazard &amp; Exposure'!P99</f>
        <v>6.4466009404268849</v>
      </c>
      <c r="G88" s="159">
        <f>'Hazard &amp; Exposure'!Q99</f>
        <v>4.5312466886438836</v>
      </c>
      <c r="H88" s="12">
        <f>'Hazard &amp; Exposure'!W99</f>
        <v>8</v>
      </c>
      <c r="I88" s="12">
        <f>'Hazard &amp; Exposure'!T99</f>
        <v>9.4963814816019507</v>
      </c>
      <c r="J88" s="12">
        <f>'Hazard &amp; Exposure'!AA99</f>
        <v>8</v>
      </c>
      <c r="K88" s="12">
        <f t="shared" si="12"/>
        <v>6.5866565236119188</v>
      </c>
      <c r="L88" s="12">
        <f>Vulnerability!J99</f>
        <v>8.8930594691469853</v>
      </c>
      <c r="M88" s="12">
        <f>Vulnerability!O99</f>
        <v>10</v>
      </c>
      <c r="N88" s="12">
        <f t="shared" si="13"/>
        <v>9.2620396460979908</v>
      </c>
      <c r="O88" s="12">
        <f>Vulnerability!AA99</f>
        <v>4.2319506644612526</v>
      </c>
      <c r="P88" s="12">
        <f>Vulnerability!AG99</f>
        <v>5.1286921638068739</v>
      </c>
      <c r="Q88" s="12">
        <f t="shared" si="14"/>
        <v>4.6959712219439238</v>
      </c>
      <c r="R88" s="12">
        <f t="shared" si="15"/>
        <v>7.6669781123541707</v>
      </c>
      <c r="S88" s="12">
        <f>'Lack of Coping Capacity'!F99</f>
        <v>5.7696490037761592</v>
      </c>
      <c r="T88" s="12">
        <f>'Lack of Coping Capacity'!I99</f>
        <v>9.307685232162477</v>
      </c>
      <c r="U88" s="12">
        <f>'Lack of Coping Capacity'!J99</f>
        <v>7.5386671179693181</v>
      </c>
      <c r="V88" s="12">
        <f>'Lack of Coping Capacity'!M99</f>
        <v>7.3808660795689001</v>
      </c>
      <c r="W88" s="12">
        <f>'Lack of Coping Capacity'!S99</f>
        <v>9.7328859083892603</v>
      </c>
      <c r="X88" s="12">
        <f>'Lack of Coping Capacity'!U99</f>
        <v>8.5136604607862196</v>
      </c>
      <c r="Y88" s="12">
        <f>'Lack of Coping Capacity'!V99</f>
        <v>8.5424708162481267</v>
      </c>
      <c r="Z88" s="12">
        <f>'Lack of Coping Capacity'!AB99</f>
        <v>8.6335737116273936</v>
      </c>
      <c r="AA88" s="12">
        <f>'Lack of Coping Capacity'!AI99</f>
        <v>4.5195373333333331</v>
      </c>
      <c r="AB88" s="12" t="str">
        <f>'Lack of Coping Capacity'!AE99</f>
        <v>x</v>
      </c>
      <c r="AC88" s="12">
        <f>'Lack of Coping Capacity'!AJ99</f>
        <v>6.5765555224803638</v>
      </c>
      <c r="AD88" s="12">
        <f t="shared" si="16"/>
        <v>7.6458618194361119</v>
      </c>
      <c r="AE88" s="12">
        <f t="shared" si="17"/>
        <v>7.2817969007700318</v>
      </c>
    </row>
    <row r="89" spans="1:31" x14ac:dyDescent="0.25">
      <c r="A89" s="117" t="s">
        <v>408</v>
      </c>
      <c r="B89" s="115" t="s">
        <v>419</v>
      </c>
      <c r="C89" s="115" t="s">
        <v>576</v>
      </c>
      <c r="D89" s="93" t="s">
        <v>644</v>
      </c>
      <c r="E89" s="12">
        <f>'Hazard &amp; Exposure'!O52</f>
        <v>9.0170340883720517</v>
      </c>
      <c r="F89" s="12">
        <f>'Hazard &amp; Exposure'!P52</f>
        <v>1.5473621511014675</v>
      </c>
      <c r="G89" s="159">
        <f>'Hazard &amp; Exposure'!Q52</f>
        <v>6.6359321260423831</v>
      </c>
      <c r="H89" s="12">
        <f>'Hazard &amp; Exposure'!W52</f>
        <v>3</v>
      </c>
      <c r="I89" s="12">
        <f>'Hazard &amp; Exposure'!T52</f>
        <v>8.3825408014047689</v>
      </c>
      <c r="J89" s="12">
        <f>'Hazard &amp; Exposure'!AA52</f>
        <v>5.6912704007023844</v>
      </c>
      <c r="K89" s="12">
        <f t="shared" si="12"/>
        <v>6.1861992083821802</v>
      </c>
      <c r="L89" s="12">
        <f>Vulnerability!J52</f>
        <v>5.9105485054698059</v>
      </c>
      <c r="M89" s="12">
        <f>Vulnerability!O52</f>
        <v>4.4037413333333326</v>
      </c>
      <c r="N89" s="12">
        <f t="shared" si="13"/>
        <v>5.4082794480909824</v>
      </c>
      <c r="O89" s="12">
        <f>Vulnerability!AA52</f>
        <v>3.5608964337867768</v>
      </c>
      <c r="P89" s="12">
        <f>Vulnerability!AG52</f>
        <v>1.2711042119543197</v>
      </c>
      <c r="Q89" s="12">
        <f t="shared" si="14"/>
        <v>2.4917048371856083</v>
      </c>
      <c r="R89" s="12">
        <f t="shared" si="15"/>
        <v>4.1000467828242355</v>
      </c>
      <c r="S89" s="12">
        <f>'Lack of Coping Capacity'!F52</f>
        <v>8.0745683600492235</v>
      </c>
      <c r="T89" s="12">
        <f>'Lack of Coping Capacity'!I52</f>
        <v>6.7364291846752167</v>
      </c>
      <c r="U89" s="12">
        <f>'Lack of Coping Capacity'!J52</f>
        <v>7.4054987723622201</v>
      </c>
      <c r="V89" s="12">
        <f>'Lack of Coping Capacity'!M52</f>
        <v>2.5117977238917955</v>
      </c>
      <c r="W89" s="12">
        <f>'Lack of Coping Capacity'!S52</f>
        <v>7.4126894605420075</v>
      </c>
      <c r="X89" s="12">
        <f>'Lack of Coping Capacity'!U52</f>
        <v>9.8647237723687979</v>
      </c>
      <c r="Y89" s="12">
        <f>'Lack of Coping Capacity'!V52</f>
        <v>6.5964036522675329</v>
      </c>
      <c r="Z89" s="12">
        <f>'Lack of Coping Capacity'!AB52</f>
        <v>7.7216164848659146</v>
      </c>
      <c r="AA89" s="12">
        <f>'Lack of Coping Capacity'!AI52</f>
        <v>1.726022765340498</v>
      </c>
      <c r="AB89" s="12">
        <f>'Lack of Coping Capacity'!AE52</f>
        <v>8.6456</v>
      </c>
      <c r="AC89" s="12">
        <f>'Lack of Coping Capacity'!AJ52</f>
        <v>6.0310797500688045</v>
      </c>
      <c r="AD89" s="12">
        <f t="shared" si="16"/>
        <v>6.7144938170764039</v>
      </c>
      <c r="AE89" s="12">
        <f t="shared" si="17"/>
        <v>5.5429632238495703</v>
      </c>
    </row>
    <row r="90" spans="1:31" x14ac:dyDescent="0.25">
      <c r="A90" s="117" t="s">
        <v>408</v>
      </c>
      <c r="B90" s="115" t="s">
        <v>441</v>
      </c>
      <c r="C90" s="115" t="s">
        <v>576</v>
      </c>
      <c r="D90" s="93" t="s">
        <v>666</v>
      </c>
      <c r="E90" s="12">
        <f>'Hazard &amp; Exposure'!O74</f>
        <v>5.3295263209287311</v>
      </c>
      <c r="F90" s="12">
        <f>'Hazard &amp; Exposure'!P74</f>
        <v>2.2550298854248201</v>
      </c>
      <c r="G90" s="159">
        <f>'Hazard &amp; Exposure'!Q74</f>
        <v>3.9555409371104688</v>
      </c>
      <c r="H90" s="12">
        <f>'Hazard &amp; Exposure'!W74</f>
        <v>8</v>
      </c>
      <c r="I90" s="12">
        <f>'Hazard &amp; Exposure'!T74</f>
        <v>8.3825408014047689</v>
      </c>
      <c r="J90" s="12">
        <f>'Hazard &amp; Exposure'!AA74</f>
        <v>8</v>
      </c>
      <c r="K90" s="12">
        <f t="shared" si="12"/>
        <v>6.3928726819228761</v>
      </c>
      <c r="L90" s="12">
        <f>Vulnerability!J74</f>
        <v>5.607064732259385</v>
      </c>
      <c r="M90" s="12">
        <f>Vulnerability!O74</f>
        <v>4.5078822222222223</v>
      </c>
      <c r="N90" s="12">
        <f t="shared" si="13"/>
        <v>5.2406705622469971</v>
      </c>
      <c r="O90" s="12">
        <f>Vulnerability!AA74</f>
        <v>3.5608964337867768</v>
      </c>
      <c r="P90" s="12">
        <f>Vulnerability!AG74</f>
        <v>1.2711042119543197</v>
      </c>
      <c r="Q90" s="12">
        <f t="shared" si="14"/>
        <v>2.4917048371856083</v>
      </c>
      <c r="R90" s="12">
        <f t="shared" si="15"/>
        <v>3.9977636503451182</v>
      </c>
      <c r="S90" s="12">
        <f>'Lack of Coping Capacity'!F74</f>
        <v>8.0745683600492235</v>
      </c>
      <c r="T90" s="12">
        <f>'Lack of Coping Capacity'!I74</f>
        <v>6.7364291846752167</v>
      </c>
      <c r="U90" s="12">
        <f>'Lack of Coping Capacity'!J74</f>
        <v>7.4054987723622201</v>
      </c>
      <c r="V90" s="12">
        <f>'Lack of Coping Capacity'!M74</f>
        <v>2.5117977238917955</v>
      </c>
      <c r="W90" s="12">
        <f>'Lack of Coping Capacity'!S74</f>
        <v>7.4126894605420075</v>
      </c>
      <c r="X90" s="12">
        <f>'Lack of Coping Capacity'!U74</f>
        <v>9.8647237723687979</v>
      </c>
      <c r="Y90" s="12">
        <f>'Lack of Coping Capacity'!V74</f>
        <v>6.5964036522675329</v>
      </c>
      <c r="Z90" s="12">
        <f>'Lack of Coping Capacity'!AB74</f>
        <v>7.7216164848659146</v>
      </c>
      <c r="AA90" s="12">
        <f>'Lack of Coping Capacity'!AI74</f>
        <v>1.726022765340498</v>
      </c>
      <c r="AB90" s="12">
        <f>'Lack of Coping Capacity'!AE74</f>
        <v>8.6456</v>
      </c>
      <c r="AC90" s="12">
        <f>'Lack of Coping Capacity'!AJ74</f>
        <v>6.0310797500688045</v>
      </c>
      <c r="AD90" s="12">
        <f t="shared" si="16"/>
        <v>6.7144938170764039</v>
      </c>
      <c r="AE90" s="12">
        <f t="shared" si="17"/>
        <v>5.557022426294397</v>
      </c>
    </row>
    <row r="91" spans="1:31" x14ac:dyDescent="0.25">
      <c r="A91" s="117" t="s">
        <v>408</v>
      </c>
      <c r="B91" s="115" t="s">
        <v>412</v>
      </c>
      <c r="C91" s="115" t="s">
        <v>576</v>
      </c>
      <c r="D91" s="93" t="s">
        <v>637</v>
      </c>
      <c r="E91" s="12">
        <f>'Hazard &amp; Exposure'!O45</f>
        <v>8.8626636674295671</v>
      </c>
      <c r="F91" s="12">
        <f>'Hazard &amp; Exposure'!P45</f>
        <v>2.200746244742652</v>
      </c>
      <c r="G91" s="159">
        <f>'Hazard &amp; Exposure'!Q45</f>
        <v>6.6351210411873618</v>
      </c>
      <c r="H91" s="12">
        <f>'Hazard &amp; Exposure'!W45</f>
        <v>4</v>
      </c>
      <c r="I91" s="12">
        <f>'Hazard &amp; Exposure'!T45</f>
        <v>8.3825408014047689</v>
      </c>
      <c r="J91" s="12">
        <f>'Hazard &amp; Exposure'!AA45</f>
        <v>6.1912704007023844</v>
      </c>
      <c r="K91" s="12">
        <f t="shared" si="12"/>
        <v>6.4184404253079759</v>
      </c>
      <c r="L91" s="12">
        <f>Vulnerability!J45</f>
        <v>6.5096189738198129</v>
      </c>
      <c r="M91" s="12">
        <f>Vulnerability!O45</f>
        <v>5.0040746666666669</v>
      </c>
      <c r="N91" s="12">
        <f t="shared" si="13"/>
        <v>6.0077708714354303</v>
      </c>
      <c r="O91" s="12">
        <f>Vulnerability!AA45</f>
        <v>3.5608964337867768</v>
      </c>
      <c r="P91" s="12">
        <f>Vulnerability!AG45</f>
        <v>1.2711042119543197</v>
      </c>
      <c r="Q91" s="12">
        <f t="shared" si="14"/>
        <v>2.4917048371856083</v>
      </c>
      <c r="R91" s="12">
        <f t="shared" si="15"/>
        <v>4.4787840021819205</v>
      </c>
      <c r="S91" s="12">
        <f>'Lack of Coping Capacity'!F45</f>
        <v>8.0745683600492235</v>
      </c>
      <c r="T91" s="12">
        <f>'Lack of Coping Capacity'!I45</f>
        <v>6.7364291846752167</v>
      </c>
      <c r="U91" s="12">
        <f>'Lack of Coping Capacity'!J45</f>
        <v>7.4054987723622201</v>
      </c>
      <c r="V91" s="12">
        <f>'Lack of Coping Capacity'!M45</f>
        <v>2.5117977238917955</v>
      </c>
      <c r="W91" s="12">
        <f>'Lack of Coping Capacity'!S45</f>
        <v>7.4126894605420075</v>
      </c>
      <c r="X91" s="12">
        <f>'Lack of Coping Capacity'!U45</f>
        <v>9.8647237723687979</v>
      </c>
      <c r="Y91" s="12">
        <f>'Lack of Coping Capacity'!V45</f>
        <v>6.5964036522675329</v>
      </c>
      <c r="Z91" s="12">
        <f>'Lack of Coping Capacity'!AB45</f>
        <v>7.7216164848659146</v>
      </c>
      <c r="AA91" s="12">
        <f>'Lack of Coping Capacity'!AI45</f>
        <v>1.726022765340498</v>
      </c>
      <c r="AB91" s="12">
        <f>'Lack of Coping Capacity'!AE45</f>
        <v>8.6456</v>
      </c>
      <c r="AC91" s="12">
        <f>'Lack of Coping Capacity'!AJ45</f>
        <v>6.0310797500688045</v>
      </c>
      <c r="AD91" s="12">
        <f t="shared" si="16"/>
        <v>6.7144938170764039</v>
      </c>
      <c r="AE91" s="12">
        <f t="shared" si="17"/>
        <v>5.7791988385523716</v>
      </c>
    </row>
    <row r="92" spans="1:31" x14ac:dyDescent="0.25">
      <c r="A92" s="117" t="s">
        <v>408</v>
      </c>
      <c r="B92" s="115" t="s">
        <v>446</v>
      </c>
      <c r="C92" s="115" t="s">
        <v>576</v>
      </c>
      <c r="D92" s="93" t="s">
        <v>671</v>
      </c>
      <c r="E92" s="12">
        <f>'Hazard &amp; Exposure'!O79</f>
        <v>8.9170526846450535</v>
      </c>
      <c r="F92" s="12">
        <f>'Hazard &amp; Exposure'!P79</f>
        <v>2.1527774427797177</v>
      </c>
      <c r="G92" s="159">
        <f>'Hazard &amp; Exposure'!Q79</f>
        <v>6.6777030008535991</v>
      </c>
      <c r="H92" s="12">
        <f>'Hazard &amp; Exposure'!W79</f>
        <v>0</v>
      </c>
      <c r="I92" s="12">
        <f>'Hazard &amp; Exposure'!T79</f>
        <v>8.3825408014047689</v>
      </c>
      <c r="J92" s="12">
        <f>'Hazard &amp; Exposure'!AA79</f>
        <v>4.1912704007023844</v>
      </c>
      <c r="K92" s="12">
        <f t="shared" si="12"/>
        <v>5.5722955403219787</v>
      </c>
      <c r="L92" s="12">
        <f>Vulnerability!J79</f>
        <v>6.229493919579868</v>
      </c>
      <c r="M92" s="12">
        <f>Vulnerability!O79</f>
        <v>4.625216</v>
      </c>
      <c r="N92" s="12">
        <f t="shared" si="13"/>
        <v>5.694734613053245</v>
      </c>
      <c r="O92" s="12">
        <f>Vulnerability!AA79</f>
        <v>3.5608964337867768</v>
      </c>
      <c r="P92" s="12">
        <f>Vulnerability!AG79</f>
        <v>1.2711042119543197</v>
      </c>
      <c r="Q92" s="12">
        <f t="shared" si="14"/>
        <v>2.4917048371856083</v>
      </c>
      <c r="R92" s="12">
        <f t="shared" si="15"/>
        <v>4.2783993822802646</v>
      </c>
      <c r="S92" s="12">
        <f>'Lack of Coping Capacity'!F79</f>
        <v>8.0745683600492235</v>
      </c>
      <c r="T92" s="12">
        <f>'Lack of Coping Capacity'!I79</f>
        <v>6.7364291846752167</v>
      </c>
      <c r="U92" s="12">
        <f>'Lack of Coping Capacity'!J79</f>
        <v>7.4054987723622201</v>
      </c>
      <c r="V92" s="12">
        <f>'Lack of Coping Capacity'!M79</f>
        <v>2.5117977238917955</v>
      </c>
      <c r="W92" s="12">
        <f>'Lack of Coping Capacity'!S79</f>
        <v>7.4126894605420075</v>
      </c>
      <c r="X92" s="12">
        <f>'Lack of Coping Capacity'!U79</f>
        <v>9.8647237723687979</v>
      </c>
      <c r="Y92" s="12">
        <f>'Lack of Coping Capacity'!V79</f>
        <v>6.5964036522675329</v>
      </c>
      <c r="Z92" s="12">
        <f>'Lack of Coping Capacity'!AB79</f>
        <v>7.7216164848659146</v>
      </c>
      <c r="AA92" s="12">
        <f>'Lack of Coping Capacity'!AI79</f>
        <v>1.726022765340498</v>
      </c>
      <c r="AB92" s="12">
        <f>'Lack of Coping Capacity'!AE79</f>
        <v>8.6456</v>
      </c>
      <c r="AC92" s="12">
        <f>'Lack of Coping Capacity'!AJ79</f>
        <v>6.0310797500688045</v>
      </c>
      <c r="AD92" s="12">
        <f t="shared" si="16"/>
        <v>6.7144938170764039</v>
      </c>
      <c r="AE92" s="12">
        <f t="shared" si="17"/>
        <v>5.4297051638623994</v>
      </c>
    </row>
    <row r="93" spans="1:31" x14ac:dyDescent="0.25">
      <c r="A93" s="117" t="s">
        <v>385</v>
      </c>
      <c r="B93" s="115" t="s">
        <v>396</v>
      </c>
      <c r="C93" s="115" t="s">
        <v>575</v>
      </c>
      <c r="D93" s="93" t="s">
        <v>397</v>
      </c>
      <c r="E93" s="12">
        <f>'Hazard &amp; Exposure'!O36</f>
        <v>8.7264486586522914</v>
      </c>
      <c r="F93" s="12">
        <f>'Hazard &amp; Exposure'!P36</f>
        <v>9.4105706563810315E-2</v>
      </c>
      <c r="G93" s="159">
        <f>'Hazard &amp; Exposure'!Q36</f>
        <v>5.9855048906958288</v>
      </c>
      <c r="H93" s="12">
        <f>'Hazard &amp; Exposure'!W36</f>
        <v>6</v>
      </c>
      <c r="I93" s="12">
        <f>'Hazard &amp; Exposure'!T36</f>
        <v>8.067210585702945</v>
      </c>
      <c r="J93" s="12">
        <f>'Hazard &amp; Exposure'!AA36</f>
        <v>7.0336052928514725</v>
      </c>
      <c r="K93" s="12">
        <f t="shared" si="12"/>
        <v>6.5394933246102411</v>
      </c>
      <c r="L93" s="12">
        <f>Vulnerability!J36</f>
        <v>7.9134744896523816</v>
      </c>
      <c r="M93" s="12">
        <f>Vulnerability!O36</f>
        <v>3.0178048888888891</v>
      </c>
      <c r="N93" s="12">
        <f t="shared" si="13"/>
        <v>6.2815846227312173</v>
      </c>
      <c r="O93" s="12">
        <f>Vulnerability!AA36</f>
        <v>8.3356208244148888</v>
      </c>
      <c r="P93" s="12">
        <f>Vulnerability!AG36</f>
        <v>0.80186657074228329</v>
      </c>
      <c r="Q93" s="12">
        <f t="shared" si="14"/>
        <v>5.7619795848753119</v>
      </c>
      <c r="R93" s="12">
        <f t="shared" si="15"/>
        <v>6.0284176916942211</v>
      </c>
      <c r="S93" s="12">
        <f>'Lack of Coping Capacity'!F36</f>
        <v>8.0127683565050205</v>
      </c>
      <c r="T93" s="12">
        <f>'Lack of Coping Capacity'!I36</f>
        <v>6.3694647312164303</v>
      </c>
      <c r="U93" s="12">
        <f>'Lack of Coping Capacity'!J36</f>
        <v>7.1911165438607254</v>
      </c>
      <c r="V93" s="12">
        <f>'Lack of Coping Capacity'!M36</f>
        <v>8.4472657303624654</v>
      </c>
      <c r="W93" s="12">
        <f>'Lack of Coping Capacity'!S36</f>
        <v>8.2329977628635334</v>
      </c>
      <c r="X93" s="12">
        <f>'Lack of Coping Capacity'!U36</f>
        <v>8.4059639223302298</v>
      </c>
      <c r="Y93" s="12">
        <f>'Lack of Coping Capacity'!V36</f>
        <v>8.3620758051854107</v>
      </c>
      <c r="Z93" s="12">
        <f>'Lack of Coping Capacity'!AB36</f>
        <v>5.0693877117172024</v>
      </c>
      <c r="AA93" s="12">
        <f>'Lack of Coping Capacity'!AI36</f>
        <v>6.9503220205383363</v>
      </c>
      <c r="AB93" s="12">
        <f>'Lack of Coping Capacity'!AE36</f>
        <v>9.838000000000001</v>
      </c>
      <c r="AC93" s="12">
        <f>'Lack of Coping Capacity'!AJ36</f>
        <v>7.2859032440851799</v>
      </c>
      <c r="AD93" s="12">
        <f t="shared" si="16"/>
        <v>7.6567032949783078</v>
      </c>
      <c r="AE93" s="12">
        <f t="shared" si="17"/>
        <v>6.7080519635772404</v>
      </c>
    </row>
    <row r="94" spans="1:31" x14ac:dyDescent="0.25">
      <c r="A94" s="117" t="s">
        <v>385</v>
      </c>
      <c r="B94" s="115" t="s">
        <v>402</v>
      </c>
      <c r="C94" s="115" t="s">
        <v>575</v>
      </c>
      <c r="D94" s="93" t="s">
        <v>403</v>
      </c>
      <c r="E94" s="12">
        <f>'Hazard &amp; Exposure'!O39</f>
        <v>5.425269762766102</v>
      </c>
      <c r="F94" s="12">
        <f>'Hazard &amp; Exposure'!P39</f>
        <v>6.0262679871391036</v>
      </c>
      <c r="G94" s="159">
        <f>'Hazard &amp; Exposure'!Q39</f>
        <v>5.7341592530294481</v>
      </c>
      <c r="H94" s="12">
        <f>'Hazard &amp; Exposure'!W39</f>
        <v>6</v>
      </c>
      <c r="I94" s="12">
        <f>'Hazard &amp; Exposure'!T39</f>
        <v>8.067210585702945</v>
      </c>
      <c r="J94" s="12">
        <f>'Hazard &amp; Exposure'!AA39</f>
        <v>7.0336052928514725</v>
      </c>
      <c r="K94" s="12">
        <f t="shared" si="12"/>
        <v>6.428744990672647</v>
      </c>
      <c r="L94" s="12">
        <f>Vulnerability!J39</f>
        <v>8.8893992584877459</v>
      </c>
      <c r="M94" s="12">
        <f>Vulnerability!O39</f>
        <v>2.8020715555555555</v>
      </c>
      <c r="N94" s="12">
        <f t="shared" si="13"/>
        <v>6.8602900241770159</v>
      </c>
      <c r="O94" s="12">
        <f>Vulnerability!AA39</f>
        <v>2.5897130804252804</v>
      </c>
      <c r="P94" s="12">
        <f>Vulnerability!AG39</f>
        <v>0.80186657074228329</v>
      </c>
      <c r="Q94" s="12">
        <f t="shared" si="14"/>
        <v>1.7383219785125568</v>
      </c>
      <c r="R94" s="12">
        <f t="shared" si="15"/>
        <v>4.7990552108329245</v>
      </c>
      <c r="S94" s="12">
        <f>'Lack of Coping Capacity'!F39</f>
        <v>8.0127683565050205</v>
      </c>
      <c r="T94" s="12">
        <f>'Lack of Coping Capacity'!I39</f>
        <v>6.3694647312164303</v>
      </c>
      <c r="U94" s="12">
        <f>'Lack of Coping Capacity'!J39</f>
        <v>7.1911165438607254</v>
      </c>
      <c r="V94" s="12">
        <f>'Lack of Coping Capacity'!M39</f>
        <v>8.4472657303624654</v>
      </c>
      <c r="W94" s="12">
        <f>'Lack of Coping Capacity'!S39</f>
        <v>8.2329977628635334</v>
      </c>
      <c r="X94" s="12">
        <f>'Lack of Coping Capacity'!U39</f>
        <v>8.4059639223302298</v>
      </c>
      <c r="Y94" s="12">
        <f>'Lack of Coping Capacity'!V39</f>
        <v>8.3620758051854107</v>
      </c>
      <c r="Z94" s="12">
        <f>'Lack of Coping Capacity'!AB39</f>
        <v>5.0693877117172024</v>
      </c>
      <c r="AA94" s="12">
        <f>'Lack of Coping Capacity'!AI39</f>
        <v>6.9503220205383363</v>
      </c>
      <c r="AB94" s="12">
        <f>'Lack of Coping Capacity'!AE39</f>
        <v>9.838000000000001</v>
      </c>
      <c r="AC94" s="12">
        <f>'Lack of Coping Capacity'!AJ39</f>
        <v>7.2859032440851799</v>
      </c>
      <c r="AD94" s="12">
        <f t="shared" si="16"/>
        <v>7.6567032949783078</v>
      </c>
      <c r="AE94" s="12">
        <f t="shared" si="17"/>
        <v>6.181699947633879</v>
      </c>
    </row>
    <row r="95" spans="1:31" x14ac:dyDescent="0.25">
      <c r="A95" s="117" t="s">
        <v>408</v>
      </c>
      <c r="B95" s="115" t="s">
        <v>435</v>
      </c>
      <c r="C95" s="115" t="s">
        <v>576</v>
      </c>
      <c r="D95" s="93" t="s">
        <v>660</v>
      </c>
      <c r="E95" s="12">
        <f>'Hazard &amp; Exposure'!O68</f>
        <v>8.9093457384609849</v>
      </c>
      <c r="F95" s="12">
        <f>'Hazard &amp; Exposure'!P68</f>
        <v>2.2584465812794274</v>
      </c>
      <c r="G95" s="159">
        <f>'Hazard &amp; Exposure'!Q68</f>
        <v>6.6961943262247399</v>
      </c>
      <c r="H95" s="12">
        <f>'Hazard &amp; Exposure'!W68</f>
        <v>4</v>
      </c>
      <c r="I95" s="12">
        <f>'Hazard &amp; Exposure'!T68</f>
        <v>8.3825408014047689</v>
      </c>
      <c r="J95" s="12">
        <f>'Hazard &amp; Exposure'!AA68</f>
        <v>6.1912704007023844</v>
      </c>
      <c r="K95" s="12">
        <f t="shared" si="12"/>
        <v>6.4505652920733052</v>
      </c>
      <c r="L95" s="12">
        <f>Vulnerability!J68</f>
        <v>6.2227535924455228</v>
      </c>
      <c r="M95" s="12">
        <f>Vulnerability!O68</f>
        <v>5.307993777777777</v>
      </c>
      <c r="N95" s="12">
        <f t="shared" si="13"/>
        <v>5.9178336542229415</v>
      </c>
      <c r="O95" s="12">
        <f>Vulnerability!AA68</f>
        <v>3.5608964337867768</v>
      </c>
      <c r="P95" s="12">
        <f>Vulnerability!AG68</f>
        <v>1.2711042119543197</v>
      </c>
      <c r="Q95" s="12">
        <f t="shared" si="14"/>
        <v>2.4917048371856083</v>
      </c>
      <c r="R95" s="12">
        <f t="shared" si="15"/>
        <v>4.4205978053820392</v>
      </c>
      <c r="S95" s="12">
        <f>'Lack of Coping Capacity'!F68</f>
        <v>8.0745683600492235</v>
      </c>
      <c r="T95" s="12">
        <f>'Lack of Coping Capacity'!I68</f>
        <v>6.7364291846752167</v>
      </c>
      <c r="U95" s="12">
        <f>'Lack of Coping Capacity'!J68</f>
        <v>7.4054987723622201</v>
      </c>
      <c r="V95" s="12">
        <f>'Lack of Coping Capacity'!M68</f>
        <v>2.5117977238917955</v>
      </c>
      <c r="W95" s="12">
        <f>'Lack of Coping Capacity'!S68</f>
        <v>7.4126894605420075</v>
      </c>
      <c r="X95" s="12">
        <f>'Lack of Coping Capacity'!U68</f>
        <v>9.8647237723687979</v>
      </c>
      <c r="Y95" s="12">
        <f>'Lack of Coping Capacity'!V68</f>
        <v>6.5964036522675329</v>
      </c>
      <c r="Z95" s="12">
        <f>'Lack of Coping Capacity'!AB68</f>
        <v>7.7216164848659146</v>
      </c>
      <c r="AA95" s="12">
        <f>'Lack of Coping Capacity'!AI68</f>
        <v>1.726022765340498</v>
      </c>
      <c r="AB95" s="12">
        <f>'Lack of Coping Capacity'!AE68</f>
        <v>8.6456</v>
      </c>
      <c r="AC95" s="12">
        <f>'Lack of Coping Capacity'!AJ68</f>
        <v>6.0310797500688045</v>
      </c>
      <c r="AD95" s="12">
        <f t="shared" si="16"/>
        <v>6.7144938170764039</v>
      </c>
      <c r="AE95" s="12">
        <f t="shared" si="17"/>
        <v>5.7636467121634425</v>
      </c>
    </row>
    <row r="96" spans="1:31" x14ac:dyDescent="0.25">
      <c r="A96" s="117" t="s">
        <v>408</v>
      </c>
      <c r="B96" s="115" t="s">
        <v>416</v>
      </c>
      <c r="C96" s="115" t="s">
        <v>576</v>
      </c>
      <c r="D96" s="93" t="s">
        <v>641</v>
      </c>
      <c r="E96" s="12">
        <f>'Hazard &amp; Exposure'!O49</f>
        <v>8.9151321538586856</v>
      </c>
      <c r="F96" s="12">
        <f>'Hazard &amp; Exposure'!P49</f>
        <v>2.2816822628890647</v>
      </c>
      <c r="G96" s="159">
        <f>'Hazard &amp; Exposure'!Q49</f>
        <v>6.7077896425770298</v>
      </c>
      <c r="H96" s="12">
        <f>'Hazard &amp; Exposure'!W49</f>
        <v>0</v>
      </c>
      <c r="I96" s="12">
        <f>'Hazard &amp; Exposure'!T49</f>
        <v>8.3825408014047689</v>
      </c>
      <c r="J96" s="12">
        <f>'Hazard &amp; Exposure'!AA49</f>
        <v>4.1912704007023844</v>
      </c>
      <c r="K96" s="12">
        <f t="shared" si="12"/>
        <v>5.5911216945470832</v>
      </c>
      <c r="L96" s="12">
        <f>Vulnerability!J49</f>
        <v>6.6759692962050101</v>
      </c>
      <c r="M96" s="12">
        <f>Vulnerability!O49</f>
        <v>4.798216</v>
      </c>
      <c r="N96" s="12">
        <f t="shared" si="13"/>
        <v>6.0500515308033398</v>
      </c>
      <c r="O96" s="12">
        <f>Vulnerability!AA49</f>
        <v>3.5608964337867768</v>
      </c>
      <c r="P96" s="12">
        <f>Vulnerability!AG49</f>
        <v>1.2711042119543197</v>
      </c>
      <c r="Q96" s="12">
        <f t="shared" si="14"/>
        <v>2.4917048371856083</v>
      </c>
      <c r="R96" s="12">
        <f t="shared" si="15"/>
        <v>4.506315224846678</v>
      </c>
      <c r="S96" s="12">
        <f>'Lack of Coping Capacity'!F49</f>
        <v>8.0745683600492235</v>
      </c>
      <c r="T96" s="12">
        <f>'Lack of Coping Capacity'!I49</f>
        <v>6.7364291846752167</v>
      </c>
      <c r="U96" s="12">
        <f>'Lack of Coping Capacity'!J49</f>
        <v>7.4054987723622201</v>
      </c>
      <c r="V96" s="12">
        <f>'Lack of Coping Capacity'!M49</f>
        <v>2.5117977238917955</v>
      </c>
      <c r="W96" s="12">
        <f>'Lack of Coping Capacity'!S49</f>
        <v>7.4126894605420075</v>
      </c>
      <c r="X96" s="12">
        <f>'Lack of Coping Capacity'!U49</f>
        <v>9.8647237723687979</v>
      </c>
      <c r="Y96" s="12">
        <f>'Lack of Coping Capacity'!V49</f>
        <v>6.5964036522675329</v>
      </c>
      <c r="Z96" s="12">
        <f>'Lack of Coping Capacity'!AB49</f>
        <v>7.7216164848659146</v>
      </c>
      <c r="AA96" s="12">
        <f>'Lack of Coping Capacity'!AI49</f>
        <v>1.726022765340498</v>
      </c>
      <c r="AB96" s="12">
        <f>'Lack of Coping Capacity'!AE49</f>
        <v>8.6456</v>
      </c>
      <c r="AC96" s="12">
        <f>'Lack of Coping Capacity'!AJ49</f>
        <v>6.0310797500688045</v>
      </c>
      <c r="AD96" s="12">
        <f t="shared" si="16"/>
        <v>6.7144938170764039</v>
      </c>
      <c r="AE96" s="12">
        <f t="shared" si="17"/>
        <v>5.5306723484368545</v>
      </c>
    </row>
    <row r="97" spans="1:31" x14ac:dyDescent="0.25">
      <c r="A97" s="117" t="s">
        <v>408</v>
      </c>
      <c r="B97" s="115" t="s">
        <v>445</v>
      </c>
      <c r="C97" s="115" t="s">
        <v>576</v>
      </c>
      <c r="D97" s="93" t="s">
        <v>670</v>
      </c>
      <c r="E97" s="12">
        <f>'Hazard &amp; Exposure'!O78</f>
        <v>3.2623301416273636</v>
      </c>
      <c r="F97" s="12">
        <f>'Hazard &amp; Exposure'!P78</f>
        <v>6.720227173527638</v>
      </c>
      <c r="G97" s="159">
        <f>'Hazard &amp; Exposure'!Q78</f>
        <v>5.2405841936600872</v>
      </c>
      <c r="H97" s="12">
        <f>'Hazard &amp; Exposure'!W78</f>
        <v>8</v>
      </c>
      <c r="I97" s="12">
        <f>'Hazard &amp; Exposure'!T78</f>
        <v>8.3825408014047689</v>
      </c>
      <c r="J97" s="12">
        <f>'Hazard &amp; Exposure'!AA78</f>
        <v>8</v>
      </c>
      <c r="K97" s="12">
        <f t="shared" si="12"/>
        <v>6.8374871780820552</v>
      </c>
      <c r="L97" s="12">
        <f>Vulnerability!J78</f>
        <v>6.5034656604855456</v>
      </c>
      <c r="M97" s="12">
        <f>Vulnerability!O78</f>
        <v>4.5608822222222223</v>
      </c>
      <c r="N97" s="12">
        <f t="shared" si="13"/>
        <v>5.8559378477311048</v>
      </c>
      <c r="O97" s="12">
        <f>Vulnerability!AA78</f>
        <v>3.5608964337867768</v>
      </c>
      <c r="P97" s="12">
        <f>Vulnerability!AG78</f>
        <v>7.999427711800486</v>
      </c>
      <c r="Q97" s="12">
        <f t="shared" si="14"/>
        <v>6.2640627646778348</v>
      </c>
      <c r="R97" s="12">
        <f t="shared" si="15"/>
        <v>6.0641240023018934</v>
      </c>
      <c r="S97" s="12">
        <f>'Lack of Coping Capacity'!F78</f>
        <v>8.0745683600492235</v>
      </c>
      <c r="T97" s="12">
        <f>'Lack of Coping Capacity'!I78</f>
        <v>6.7364291846752167</v>
      </c>
      <c r="U97" s="12">
        <f>'Lack of Coping Capacity'!J78</f>
        <v>7.4054987723622201</v>
      </c>
      <c r="V97" s="12">
        <f>'Lack of Coping Capacity'!M78</f>
        <v>2.5117977238917955</v>
      </c>
      <c r="W97" s="12">
        <f>'Lack of Coping Capacity'!S78</f>
        <v>7.4126894605420075</v>
      </c>
      <c r="X97" s="12">
        <f>'Lack of Coping Capacity'!U78</f>
        <v>9.8647237723687979</v>
      </c>
      <c r="Y97" s="12">
        <f>'Lack of Coping Capacity'!V78</f>
        <v>6.5964036522675329</v>
      </c>
      <c r="Z97" s="12">
        <f>'Lack of Coping Capacity'!AB78</f>
        <v>7.7216164848659146</v>
      </c>
      <c r="AA97" s="12">
        <f>'Lack of Coping Capacity'!AI78</f>
        <v>1.726022765340498</v>
      </c>
      <c r="AB97" s="12">
        <f>'Lack of Coping Capacity'!AE78</f>
        <v>8.6456</v>
      </c>
      <c r="AC97" s="12">
        <f>'Lack of Coping Capacity'!AJ78</f>
        <v>6.0310797500688045</v>
      </c>
      <c r="AD97" s="12">
        <f t="shared" si="16"/>
        <v>6.7144938170764039</v>
      </c>
      <c r="AE97" s="12">
        <f t="shared" si="17"/>
        <v>6.5296909335183431</v>
      </c>
    </row>
    <row r="98" spans="1:31" x14ac:dyDescent="0.25">
      <c r="A98" s="117" t="s">
        <v>385</v>
      </c>
      <c r="B98" s="115" t="s">
        <v>390</v>
      </c>
      <c r="C98" s="115" t="s">
        <v>575</v>
      </c>
      <c r="D98" s="93" t="s">
        <v>391</v>
      </c>
      <c r="E98" s="12">
        <f>'Hazard &amp; Exposure'!O33</f>
        <v>5.6954121604596422</v>
      </c>
      <c r="F98" s="12">
        <f>'Hazard &amp; Exposure'!P33</f>
        <v>5.8635164725252134</v>
      </c>
      <c r="G98" s="159">
        <f>'Hazard &amp; Exposure'!Q33</f>
        <v>5.7801268888840447</v>
      </c>
      <c r="H98" s="12">
        <f>'Hazard &amp; Exposure'!W33</f>
        <v>7</v>
      </c>
      <c r="I98" s="12">
        <f>'Hazard &amp; Exposure'!T33</f>
        <v>8.067210585702945</v>
      </c>
      <c r="J98" s="12">
        <f>'Hazard &amp; Exposure'!AA33</f>
        <v>7.5336052928514725</v>
      </c>
      <c r="K98" s="12">
        <f t="shared" si="12"/>
        <v>6.7440037077985169</v>
      </c>
      <c r="L98" s="12">
        <f>Vulnerability!J33</f>
        <v>9.0675179698134851</v>
      </c>
      <c r="M98" s="12">
        <f>Vulnerability!O33</f>
        <v>2.8557031111111111</v>
      </c>
      <c r="N98" s="12">
        <f t="shared" si="13"/>
        <v>6.9969130169126936</v>
      </c>
      <c r="O98" s="12">
        <f>Vulnerability!AA33</f>
        <v>0</v>
      </c>
      <c r="P98" s="12">
        <f>Vulnerability!AG33</f>
        <v>2.6839216971607103</v>
      </c>
      <c r="Q98" s="12">
        <f t="shared" si="14"/>
        <v>1.4345705137290978</v>
      </c>
      <c r="R98" s="12">
        <f t="shared" si="15"/>
        <v>4.80149900859778</v>
      </c>
      <c r="S98" s="12">
        <f>'Lack of Coping Capacity'!F33</f>
        <v>8.0127683565050205</v>
      </c>
      <c r="T98" s="12">
        <f>'Lack of Coping Capacity'!I33</f>
        <v>6.3694647312164303</v>
      </c>
      <c r="U98" s="12">
        <f>'Lack of Coping Capacity'!J33</f>
        <v>7.1911165438607254</v>
      </c>
      <c r="V98" s="12">
        <f>'Lack of Coping Capacity'!M33</f>
        <v>8.4472657303624654</v>
      </c>
      <c r="W98" s="12">
        <f>'Lack of Coping Capacity'!S33</f>
        <v>8.2329977628635334</v>
      </c>
      <c r="X98" s="12">
        <f>'Lack of Coping Capacity'!U33</f>
        <v>8.4059639223302298</v>
      </c>
      <c r="Y98" s="12">
        <f>'Lack of Coping Capacity'!V33</f>
        <v>8.3620758051854107</v>
      </c>
      <c r="Z98" s="12">
        <f>'Lack of Coping Capacity'!AB33</f>
        <v>5.0693877117172024</v>
      </c>
      <c r="AA98" s="12">
        <f>'Lack of Coping Capacity'!AI33</f>
        <v>6.9503220205383363</v>
      </c>
      <c r="AB98" s="12">
        <f>'Lack of Coping Capacity'!AE33</f>
        <v>9.838000000000001</v>
      </c>
      <c r="AC98" s="12">
        <f>'Lack of Coping Capacity'!AJ33</f>
        <v>7.2859032440851799</v>
      </c>
      <c r="AD98" s="12">
        <f t="shared" si="16"/>
        <v>7.6567032949783078</v>
      </c>
      <c r="AE98" s="12">
        <f t="shared" si="17"/>
        <v>6.2822057213365978</v>
      </c>
    </row>
    <row r="99" spans="1:31" x14ac:dyDescent="0.25">
      <c r="A99" s="117" t="s">
        <v>408</v>
      </c>
      <c r="B99" s="115" t="s">
        <v>425</v>
      </c>
      <c r="C99" s="115" t="s">
        <v>576</v>
      </c>
      <c r="D99" s="93" t="s">
        <v>650</v>
      </c>
      <c r="E99" s="12">
        <f>'Hazard &amp; Exposure'!O58</f>
        <v>8.9696623006057692</v>
      </c>
      <c r="F99" s="12">
        <f>'Hazard &amp; Exposure'!P58</f>
        <v>2.2664416653440771</v>
      </c>
      <c r="G99" s="159">
        <f>'Hazard &amp; Exposure'!Q58</f>
        <v>6.7590533376031869</v>
      </c>
      <c r="H99" s="12">
        <f>'Hazard &amp; Exposure'!W58</f>
        <v>5</v>
      </c>
      <c r="I99" s="12">
        <f>'Hazard &amp; Exposure'!T58</f>
        <v>8.3825408014047689</v>
      </c>
      <c r="J99" s="12">
        <f>'Hazard &amp; Exposure'!AA58</f>
        <v>6.6912704007023844</v>
      </c>
      <c r="K99" s="12">
        <f t="shared" si="12"/>
        <v>6.7252928155816347</v>
      </c>
      <c r="L99" s="12">
        <f>Vulnerability!J58</f>
        <v>5.415941612163131</v>
      </c>
      <c r="M99" s="12">
        <f>Vulnerability!O58</f>
        <v>4.7553271111111108</v>
      </c>
      <c r="N99" s="12">
        <f t="shared" si="13"/>
        <v>5.195736778479124</v>
      </c>
      <c r="O99" s="12">
        <f>Vulnerability!AA58</f>
        <v>3.5608964337867768</v>
      </c>
      <c r="P99" s="12">
        <f>Vulnerability!AG58</f>
        <v>1.2711042119543197</v>
      </c>
      <c r="Q99" s="12">
        <f t="shared" si="14"/>
        <v>2.4917048371856083</v>
      </c>
      <c r="R99" s="12">
        <f t="shared" si="15"/>
        <v>3.9705918978251455</v>
      </c>
      <c r="S99" s="12">
        <f>'Lack of Coping Capacity'!F58</f>
        <v>8.0745683600492235</v>
      </c>
      <c r="T99" s="12">
        <f>'Lack of Coping Capacity'!I58</f>
        <v>6.7364291846752167</v>
      </c>
      <c r="U99" s="12">
        <f>'Lack of Coping Capacity'!J58</f>
        <v>7.4054987723622201</v>
      </c>
      <c r="V99" s="12">
        <f>'Lack of Coping Capacity'!M58</f>
        <v>2.5117977238917955</v>
      </c>
      <c r="W99" s="12">
        <f>'Lack of Coping Capacity'!S58</f>
        <v>7.4126894605420075</v>
      </c>
      <c r="X99" s="12">
        <f>'Lack of Coping Capacity'!U58</f>
        <v>9.8647237723687979</v>
      </c>
      <c r="Y99" s="12">
        <f>'Lack of Coping Capacity'!V58</f>
        <v>6.5964036522675329</v>
      </c>
      <c r="Z99" s="12">
        <f>'Lack of Coping Capacity'!AB58</f>
        <v>7.7216164848659146</v>
      </c>
      <c r="AA99" s="12">
        <f>'Lack of Coping Capacity'!AI58</f>
        <v>1.726022765340498</v>
      </c>
      <c r="AB99" s="12">
        <f>'Lack of Coping Capacity'!AE58</f>
        <v>8.6456</v>
      </c>
      <c r="AC99" s="12">
        <f>'Lack of Coping Capacity'!AJ58</f>
        <v>6.0310797500688045</v>
      </c>
      <c r="AD99" s="12">
        <f t="shared" si="16"/>
        <v>6.7144938170764039</v>
      </c>
      <c r="AE99" s="12">
        <f t="shared" si="17"/>
        <v>5.638885066809121</v>
      </c>
    </row>
    <row r="100" spans="1:31" x14ac:dyDescent="0.25">
      <c r="A100" s="117" t="s">
        <v>408</v>
      </c>
      <c r="B100" s="115" t="s">
        <v>432</v>
      </c>
      <c r="C100" s="115" t="s">
        <v>576</v>
      </c>
      <c r="D100" s="93" t="s">
        <v>657</v>
      </c>
      <c r="E100" s="12">
        <f>'Hazard &amp; Exposure'!O65</f>
        <v>5.4779367147912348</v>
      </c>
      <c r="F100" s="12">
        <f>'Hazard &amp; Exposure'!P65</f>
        <v>6.857472827632165</v>
      </c>
      <c r="G100" s="159">
        <f>'Hazard &amp; Exposure'!Q65</f>
        <v>6.2160639949231955</v>
      </c>
      <c r="H100" s="12">
        <f>'Hazard &amp; Exposure'!W65</f>
        <v>7</v>
      </c>
      <c r="I100" s="12">
        <f>'Hazard &amp; Exposure'!T65</f>
        <v>8.3825408014047689</v>
      </c>
      <c r="J100" s="12">
        <f>'Hazard &amp; Exposure'!AA65</f>
        <v>7.6912704007023844</v>
      </c>
      <c r="K100" s="12">
        <f t="shared" ref="K100:K131" si="18">(10-GEOMEAN(((10-G100)/10*9+1),((10-J100)/10*9+1)))/9*10</f>
        <v>7.0196222125182928</v>
      </c>
      <c r="L100" s="12">
        <f>Vulnerability!J65</f>
        <v>8.3790723635219457</v>
      </c>
      <c r="M100" s="12">
        <f>Vulnerability!O65</f>
        <v>4.7454084444444451</v>
      </c>
      <c r="N100" s="12">
        <f t="shared" ref="N100:N131" si="19">AVERAGE(L100,L100,M100)</f>
        <v>7.1678510571627783</v>
      </c>
      <c r="O100" s="12">
        <f>Vulnerability!AA65</f>
        <v>3.5608964337867768</v>
      </c>
      <c r="P100" s="12">
        <f>Vulnerability!AG65</f>
        <v>7.999427711800486</v>
      </c>
      <c r="Q100" s="12">
        <f t="shared" ref="Q100:Q131" si="20">(10-GEOMEAN(((10-O100)/10*9+1),((10-P100)/10*9+1)))/9*10</f>
        <v>6.2640627646778348</v>
      </c>
      <c r="R100" s="12">
        <f t="shared" ref="R100:R131" si="21">(10-GEOMEAN(((10-N100)/10*9+1),((10-Q100)/10*9+1)))/9*10</f>
        <v>6.7392497084535821</v>
      </c>
      <c r="S100" s="12">
        <f>'Lack of Coping Capacity'!F65</f>
        <v>8.0745683600492235</v>
      </c>
      <c r="T100" s="12">
        <f>'Lack of Coping Capacity'!I65</f>
        <v>6.7364291846752167</v>
      </c>
      <c r="U100" s="12">
        <f>'Lack of Coping Capacity'!J65</f>
        <v>7.4054987723622201</v>
      </c>
      <c r="V100" s="12">
        <f>'Lack of Coping Capacity'!M65</f>
        <v>2.5117977238917955</v>
      </c>
      <c r="W100" s="12">
        <f>'Lack of Coping Capacity'!S65</f>
        <v>7.4126894605420075</v>
      </c>
      <c r="X100" s="12">
        <f>'Lack of Coping Capacity'!U65</f>
        <v>9.8647237723687979</v>
      </c>
      <c r="Y100" s="12">
        <f>'Lack of Coping Capacity'!V65</f>
        <v>6.5964036522675329</v>
      </c>
      <c r="Z100" s="12">
        <f>'Lack of Coping Capacity'!AB65</f>
        <v>7.7216164848659146</v>
      </c>
      <c r="AA100" s="12">
        <f>'Lack of Coping Capacity'!AI65</f>
        <v>1.726022765340498</v>
      </c>
      <c r="AB100" s="12">
        <f>'Lack of Coping Capacity'!AE65</f>
        <v>8.6456</v>
      </c>
      <c r="AC100" s="12">
        <f>'Lack of Coping Capacity'!AJ65</f>
        <v>6.0310797500688045</v>
      </c>
      <c r="AD100" s="12">
        <f t="shared" ref="AD100:AD131" si="22">(10-GEOMEAN(((10-U100)/10*9+1),((10-Y100)/10*9+1),((10-AC100)/10*9+1)))/9*10</f>
        <v>6.7144938170764039</v>
      </c>
      <c r="AE100" s="12">
        <f t="shared" ref="AE100:AE131" si="23">K100^(1/3)*R100^(1/3)*AD100^(1/3)</f>
        <v>6.8230652120972675</v>
      </c>
    </row>
    <row r="101" spans="1:31" x14ac:dyDescent="0.25">
      <c r="A101" s="117" t="s">
        <v>525</v>
      </c>
      <c r="B101" s="115" t="s">
        <v>558</v>
      </c>
      <c r="C101" s="115" t="s">
        <v>579</v>
      </c>
      <c r="D101" s="93" t="s">
        <v>559</v>
      </c>
      <c r="E101" s="12">
        <f>'Hazard &amp; Exposure'!O138</f>
        <v>9.0481304797712241</v>
      </c>
      <c r="F101" s="12">
        <f>'Hazard &amp; Exposure'!P138</f>
        <v>1.7776675742763932</v>
      </c>
      <c r="G101" s="159">
        <f>'Hazard &amp; Exposure'!Q138</f>
        <v>6.7230918267192932</v>
      </c>
      <c r="H101" s="12">
        <f>'Hazard &amp; Exposure'!W138</f>
        <v>0</v>
      </c>
      <c r="I101" s="12">
        <f>'Hazard &amp; Exposure'!T138</f>
        <v>10</v>
      </c>
      <c r="J101" s="12">
        <f>'Hazard &amp; Exposure'!AA138</f>
        <v>5</v>
      </c>
      <c r="K101" s="12">
        <f t="shared" si="18"/>
        <v>5.9327258990380782</v>
      </c>
      <c r="L101" s="12">
        <f>Vulnerability!J138</f>
        <v>5.4985721542520851</v>
      </c>
      <c r="M101" s="12">
        <f>Vulnerability!O138</f>
        <v>5.472427492671776</v>
      </c>
      <c r="N101" s="12">
        <f t="shared" si="19"/>
        <v>5.4898572670586487</v>
      </c>
      <c r="O101" s="12">
        <f>Vulnerability!AA138</f>
        <v>3.1687311752266725</v>
      </c>
      <c r="P101" s="12">
        <f>Vulnerability!AG138</f>
        <v>2.0306645621350463</v>
      </c>
      <c r="Q101" s="12">
        <f t="shared" si="20"/>
        <v>2.618740624641589</v>
      </c>
      <c r="R101" s="12">
        <f t="shared" si="21"/>
        <v>4.2018586014553465</v>
      </c>
      <c r="S101" s="12">
        <f>'Lack of Coping Capacity'!F138</f>
        <v>9.0741303159868121</v>
      </c>
      <c r="T101" s="12">
        <f>'Lack of Coping Capacity'!I138</f>
        <v>8.4814011573791497</v>
      </c>
      <c r="U101" s="12">
        <f>'Lack of Coping Capacity'!J138</f>
        <v>8.77776573668298</v>
      </c>
      <c r="V101" s="12">
        <f>'Lack of Coping Capacity'!M138</f>
        <v>4.0873843546619799</v>
      </c>
      <c r="W101" s="12">
        <f>'Lack of Coping Capacity'!S138</f>
        <v>6.9611111111111104</v>
      </c>
      <c r="X101" s="12">
        <f>'Lack of Coping Capacity'!U138</f>
        <v>7.313265781810947</v>
      </c>
      <c r="Y101" s="12">
        <f>'Lack of Coping Capacity'!V138</f>
        <v>6.1205870825280124</v>
      </c>
      <c r="Z101" s="12">
        <f>'Lack of Coping Capacity'!AB138</f>
        <v>8.3770804987890024</v>
      </c>
      <c r="AA101" s="12">
        <f>'Lack of Coping Capacity'!AI138</f>
        <v>5.1365251441479209</v>
      </c>
      <c r="AB101" s="12">
        <f>'Lack of Coping Capacity'!AE138</f>
        <v>9.69</v>
      </c>
      <c r="AC101" s="12">
        <f>'Lack of Coping Capacity'!AJ138</f>
        <v>7.7345352143123085</v>
      </c>
      <c r="AD101" s="12">
        <f t="shared" si="22"/>
        <v>7.7106806509985324</v>
      </c>
      <c r="AE101" s="12">
        <f t="shared" si="23"/>
        <v>5.771155966185737</v>
      </c>
    </row>
    <row r="102" spans="1:31" x14ac:dyDescent="0.25">
      <c r="A102" s="117" t="s">
        <v>408</v>
      </c>
      <c r="B102" s="115" t="s">
        <v>429</v>
      </c>
      <c r="C102" s="115" t="s">
        <v>576</v>
      </c>
      <c r="D102" s="93" t="s">
        <v>654</v>
      </c>
      <c r="E102" s="12">
        <f>'Hazard &amp; Exposure'!O62</f>
        <v>5.7611581851641827</v>
      </c>
      <c r="F102" s="12">
        <f>'Hazard &amp; Exposure'!P62</f>
        <v>6.3709890082170055</v>
      </c>
      <c r="G102" s="159">
        <f>'Hazard &amp; Exposure'!Q62</f>
        <v>6.0752963693117241</v>
      </c>
      <c r="H102" s="12">
        <f>'Hazard &amp; Exposure'!W62</f>
        <v>8</v>
      </c>
      <c r="I102" s="12">
        <f>'Hazard &amp; Exposure'!T62</f>
        <v>8.3825408014047689</v>
      </c>
      <c r="J102" s="12">
        <f>'Hazard &amp; Exposure'!AA62</f>
        <v>8</v>
      </c>
      <c r="K102" s="12">
        <f t="shared" si="18"/>
        <v>7.1529576026290043</v>
      </c>
      <c r="L102" s="12">
        <f>Vulnerability!J62</f>
        <v>5.7610384201670373</v>
      </c>
      <c r="M102" s="12">
        <f>Vulnerability!O62</f>
        <v>5.9245853333333329</v>
      </c>
      <c r="N102" s="12">
        <f t="shared" si="19"/>
        <v>5.8155540578891349</v>
      </c>
      <c r="O102" s="12">
        <f>Vulnerability!AA62</f>
        <v>3.5608964337867768</v>
      </c>
      <c r="P102" s="12">
        <f>Vulnerability!AG62</f>
        <v>1.2711042119543197</v>
      </c>
      <c r="Q102" s="12">
        <f t="shared" si="20"/>
        <v>2.4917048371856083</v>
      </c>
      <c r="R102" s="12">
        <f t="shared" si="21"/>
        <v>4.3550354981186148</v>
      </c>
      <c r="S102" s="12">
        <f>'Lack of Coping Capacity'!F62</f>
        <v>8.0745683600492235</v>
      </c>
      <c r="T102" s="12">
        <f>'Lack of Coping Capacity'!I62</f>
        <v>6.7364291846752167</v>
      </c>
      <c r="U102" s="12">
        <f>'Lack of Coping Capacity'!J62</f>
        <v>7.4054987723622201</v>
      </c>
      <c r="V102" s="12">
        <f>'Lack of Coping Capacity'!M62</f>
        <v>2.5117977238917955</v>
      </c>
      <c r="W102" s="12">
        <f>'Lack of Coping Capacity'!S62</f>
        <v>7.4126894605420075</v>
      </c>
      <c r="X102" s="12">
        <f>'Lack of Coping Capacity'!U62</f>
        <v>9.8647237723687979</v>
      </c>
      <c r="Y102" s="12">
        <f>'Lack of Coping Capacity'!V62</f>
        <v>6.5964036522675329</v>
      </c>
      <c r="Z102" s="12">
        <f>'Lack of Coping Capacity'!AB62</f>
        <v>7.7216164848659146</v>
      </c>
      <c r="AA102" s="12">
        <f>'Lack of Coping Capacity'!AI62</f>
        <v>1.726022765340498</v>
      </c>
      <c r="AB102" s="12">
        <f>'Lack of Coping Capacity'!AE62</f>
        <v>8.6456</v>
      </c>
      <c r="AC102" s="12">
        <f>'Lack of Coping Capacity'!AJ62</f>
        <v>6.0310797500688045</v>
      </c>
      <c r="AD102" s="12">
        <f t="shared" si="22"/>
        <v>6.7144938170764039</v>
      </c>
      <c r="AE102" s="12">
        <f t="shared" si="23"/>
        <v>5.9360407842085472</v>
      </c>
    </row>
    <row r="103" spans="1:31" x14ac:dyDescent="0.25">
      <c r="A103" s="117" t="s">
        <v>408</v>
      </c>
      <c r="B103" s="115" t="s">
        <v>428</v>
      </c>
      <c r="C103" s="115" t="s">
        <v>576</v>
      </c>
      <c r="D103" s="93" t="s">
        <v>653</v>
      </c>
      <c r="E103" s="12">
        <f>'Hazard &amp; Exposure'!O61</f>
        <v>5.1775167568639144</v>
      </c>
      <c r="F103" s="12">
        <f>'Hazard &amp; Exposure'!P61</f>
        <v>4.9940042717681195</v>
      </c>
      <c r="G103" s="159">
        <f>'Hazard &amp; Exposure'!Q61</f>
        <v>5.0864592036352541</v>
      </c>
      <c r="H103" s="12">
        <f>'Hazard &amp; Exposure'!W61</f>
        <v>8</v>
      </c>
      <c r="I103" s="12">
        <f>'Hazard &amp; Exposure'!T61</f>
        <v>8.3825408014047689</v>
      </c>
      <c r="J103" s="12">
        <f>'Hazard &amp; Exposure'!AA61</f>
        <v>8</v>
      </c>
      <c r="K103" s="12">
        <f t="shared" si="18"/>
        <v>6.7817507091666283</v>
      </c>
      <c r="L103" s="12">
        <f>Vulnerability!J61</f>
        <v>5.0268854274591117</v>
      </c>
      <c r="M103" s="12">
        <f>Vulnerability!O61</f>
        <v>4.7356599999999993</v>
      </c>
      <c r="N103" s="12">
        <f t="shared" si="19"/>
        <v>4.9298102849727412</v>
      </c>
      <c r="O103" s="12">
        <f>Vulnerability!AA61</f>
        <v>3.5608964337867768</v>
      </c>
      <c r="P103" s="12">
        <f>Vulnerability!AG61</f>
        <v>1.997040170382941</v>
      </c>
      <c r="Q103" s="12">
        <f t="shared" si="20"/>
        <v>2.8157393782192686</v>
      </c>
      <c r="R103" s="12">
        <f t="shared" si="21"/>
        <v>3.9503717536390615</v>
      </c>
      <c r="S103" s="12">
        <f>'Lack of Coping Capacity'!F61</f>
        <v>8.0745683600492235</v>
      </c>
      <c r="T103" s="12">
        <f>'Lack of Coping Capacity'!I61</f>
        <v>6.7364291846752167</v>
      </c>
      <c r="U103" s="12">
        <f>'Lack of Coping Capacity'!J61</f>
        <v>7.4054987723622201</v>
      </c>
      <c r="V103" s="12">
        <f>'Lack of Coping Capacity'!M61</f>
        <v>2.5117977238917955</v>
      </c>
      <c r="W103" s="12">
        <f>'Lack of Coping Capacity'!S61</f>
        <v>7.4126894605420075</v>
      </c>
      <c r="X103" s="12">
        <f>'Lack of Coping Capacity'!U61</f>
        <v>9.8647237723687979</v>
      </c>
      <c r="Y103" s="12">
        <f>'Lack of Coping Capacity'!V61</f>
        <v>6.5964036522675329</v>
      </c>
      <c r="Z103" s="12">
        <f>'Lack of Coping Capacity'!AB61</f>
        <v>7.7216164848659146</v>
      </c>
      <c r="AA103" s="12">
        <f>'Lack of Coping Capacity'!AI61</f>
        <v>1.726022765340498</v>
      </c>
      <c r="AB103" s="12">
        <f>'Lack of Coping Capacity'!AE61</f>
        <v>8.6456</v>
      </c>
      <c r="AC103" s="12">
        <f>'Lack of Coping Capacity'!AJ61</f>
        <v>6.0310797500688045</v>
      </c>
      <c r="AD103" s="12">
        <f t="shared" si="22"/>
        <v>6.7144938170764039</v>
      </c>
      <c r="AE103" s="12">
        <f t="shared" si="23"/>
        <v>5.6450053214375302</v>
      </c>
    </row>
    <row r="104" spans="1:31" x14ac:dyDescent="0.25">
      <c r="A104" s="117" t="s">
        <v>408</v>
      </c>
      <c r="B104" s="115" t="s">
        <v>418</v>
      </c>
      <c r="C104" s="115" t="s">
        <v>576</v>
      </c>
      <c r="D104" s="93" t="s">
        <v>643</v>
      </c>
      <c r="E104" s="12">
        <f>'Hazard &amp; Exposure'!O51</f>
        <v>5.5882793940833428</v>
      </c>
      <c r="F104" s="12">
        <f>'Hazard &amp; Exposure'!P51</f>
        <v>5.1439619978157323</v>
      </c>
      <c r="G104" s="159">
        <f>'Hazard &amp; Exposure'!Q51</f>
        <v>5.3704177398238206</v>
      </c>
      <c r="H104" s="12">
        <f>'Hazard &amp; Exposure'!W51</f>
        <v>8</v>
      </c>
      <c r="I104" s="12">
        <f>'Hazard &amp; Exposure'!T51</f>
        <v>8.3825408014047689</v>
      </c>
      <c r="J104" s="12">
        <f>'Hazard &amp; Exposure'!AA51</f>
        <v>8</v>
      </c>
      <c r="K104" s="12">
        <f t="shared" si="18"/>
        <v>6.8850094875230328</v>
      </c>
      <c r="L104" s="12">
        <f>Vulnerability!J51</f>
        <v>4.8802030827014864</v>
      </c>
      <c r="M104" s="12">
        <f>Vulnerability!O51</f>
        <v>4.9883266666666666</v>
      </c>
      <c r="N104" s="12">
        <f t="shared" si="19"/>
        <v>4.9162442773565465</v>
      </c>
      <c r="O104" s="12">
        <f>Vulnerability!AA51</f>
        <v>3.5608964337867768</v>
      </c>
      <c r="P104" s="12">
        <f>Vulnerability!AG51</f>
        <v>1.2711042119543197</v>
      </c>
      <c r="Q104" s="12">
        <f t="shared" si="20"/>
        <v>2.4917048371856083</v>
      </c>
      <c r="R104" s="12">
        <f t="shared" si="21"/>
        <v>3.8038493768499722</v>
      </c>
      <c r="S104" s="12">
        <f>'Lack of Coping Capacity'!F51</f>
        <v>8.0745683600492235</v>
      </c>
      <c r="T104" s="12">
        <f>'Lack of Coping Capacity'!I51</f>
        <v>6.7364291846752167</v>
      </c>
      <c r="U104" s="12">
        <f>'Lack of Coping Capacity'!J51</f>
        <v>7.4054987723622201</v>
      </c>
      <c r="V104" s="12">
        <f>'Lack of Coping Capacity'!M51</f>
        <v>2.5117977238917955</v>
      </c>
      <c r="W104" s="12">
        <f>'Lack of Coping Capacity'!S51</f>
        <v>7.4126894605420075</v>
      </c>
      <c r="X104" s="12">
        <f>'Lack of Coping Capacity'!U51</f>
        <v>9.8647237723687979</v>
      </c>
      <c r="Y104" s="12">
        <f>'Lack of Coping Capacity'!V51</f>
        <v>6.5964036522675329</v>
      </c>
      <c r="Z104" s="12">
        <f>'Lack of Coping Capacity'!AB51</f>
        <v>7.7216164848659146</v>
      </c>
      <c r="AA104" s="12">
        <f>'Lack of Coping Capacity'!AI51</f>
        <v>1.726022765340498</v>
      </c>
      <c r="AB104" s="12">
        <f>'Lack of Coping Capacity'!AE51</f>
        <v>8.6456</v>
      </c>
      <c r="AC104" s="12">
        <f>'Lack of Coping Capacity'!AJ51</f>
        <v>6.0310797500688045</v>
      </c>
      <c r="AD104" s="12">
        <f t="shared" si="22"/>
        <v>6.7144938170764039</v>
      </c>
      <c r="AE104" s="12">
        <f t="shared" si="23"/>
        <v>5.6024808100044714</v>
      </c>
    </row>
    <row r="105" spans="1:31" x14ac:dyDescent="0.25">
      <c r="A105" s="117" t="s">
        <v>525</v>
      </c>
      <c r="B105" s="115" t="s">
        <v>532</v>
      </c>
      <c r="C105" s="115" t="s">
        <v>579</v>
      </c>
      <c r="D105" s="93" t="s">
        <v>533</v>
      </c>
      <c r="E105" s="12">
        <f>'Hazard &amp; Exposure'!O125</f>
        <v>6.0997647940265622</v>
      </c>
      <c r="F105" s="12">
        <f>'Hazard &amp; Exposure'!P125</f>
        <v>6.7930951793527194</v>
      </c>
      <c r="G105" s="159">
        <f>'Hazard &amp; Exposure'!Q125</f>
        <v>6.459329383995164</v>
      </c>
      <c r="H105" s="12">
        <f>'Hazard &amp; Exposure'!W125</f>
        <v>8</v>
      </c>
      <c r="I105" s="12">
        <f>'Hazard &amp; Exposure'!T125</f>
        <v>10</v>
      </c>
      <c r="J105" s="12">
        <f>'Hazard &amp; Exposure'!AA125</f>
        <v>8</v>
      </c>
      <c r="K105" s="12">
        <f t="shared" si="18"/>
        <v>7.3068753379637554</v>
      </c>
      <c r="L105" s="12">
        <f>Vulnerability!J125</f>
        <v>5.625</v>
      </c>
      <c r="M105" s="12">
        <f>Vulnerability!O125</f>
        <v>5.472427492671776</v>
      </c>
      <c r="N105" s="12">
        <f t="shared" si="19"/>
        <v>5.5741424975572587</v>
      </c>
      <c r="O105" s="12">
        <f>Vulnerability!AA125</f>
        <v>6.4494518852105518</v>
      </c>
      <c r="P105" s="12">
        <f>Vulnerability!AG125</f>
        <v>8.0109075940953876</v>
      </c>
      <c r="Q105" s="12">
        <f t="shared" si="20"/>
        <v>7.3095203483822102</v>
      </c>
      <c r="R105" s="12">
        <f t="shared" si="21"/>
        <v>6.5231607261563909</v>
      </c>
      <c r="S105" s="12">
        <f>'Lack of Coping Capacity'!F125</f>
        <v>9.0741303159868121</v>
      </c>
      <c r="T105" s="12">
        <f>'Lack of Coping Capacity'!I125</f>
        <v>8.4814011573791497</v>
      </c>
      <c r="U105" s="12">
        <f>'Lack of Coping Capacity'!J125</f>
        <v>8.77776573668298</v>
      </c>
      <c r="V105" s="12">
        <f>'Lack of Coping Capacity'!M125</f>
        <v>4.0873843546619799</v>
      </c>
      <c r="W105" s="12">
        <f>'Lack of Coping Capacity'!S125</f>
        <v>6.9611111111111104</v>
      </c>
      <c r="X105" s="12">
        <f>'Lack of Coping Capacity'!U125</f>
        <v>7.313265781810947</v>
      </c>
      <c r="Y105" s="12">
        <f>'Lack of Coping Capacity'!V125</f>
        <v>6.1205870825280124</v>
      </c>
      <c r="Z105" s="12">
        <f>'Lack of Coping Capacity'!AB125</f>
        <v>8.3770804987890024</v>
      </c>
      <c r="AA105" s="12">
        <f>'Lack of Coping Capacity'!AI125</f>
        <v>5.1365251441479209</v>
      </c>
      <c r="AB105" s="12">
        <f>'Lack of Coping Capacity'!AE125</f>
        <v>9.69</v>
      </c>
      <c r="AC105" s="12">
        <f>'Lack of Coping Capacity'!AJ125</f>
        <v>7.7345352143123085</v>
      </c>
      <c r="AD105" s="12">
        <f t="shared" si="22"/>
        <v>7.7106806509985324</v>
      </c>
      <c r="AE105" s="12">
        <f t="shared" si="23"/>
        <v>7.1629870273881657</v>
      </c>
    </row>
    <row r="106" spans="1:31" x14ac:dyDescent="0.25">
      <c r="A106" s="117" t="s">
        <v>408</v>
      </c>
      <c r="B106" s="115" t="s">
        <v>413</v>
      </c>
      <c r="C106" s="115" t="s">
        <v>576</v>
      </c>
      <c r="D106" s="93" t="s">
        <v>638</v>
      </c>
      <c r="E106" s="12">
        <f>'Hazard &amp; Exposure'!O46</f>
        <v>7.3955136197809468</v>
      </c>
      <c r="F106" s="12">
        <f>'Hazard &amp; Exposure'!P46</f>
        <v>4.1030404840015127</v>
      </c>
      <c r="G106" s="159">
        <f>'Hazard &amp; Exposure'!Q46</f>
        <v>6.0082521437132241</v>
      </c>
      <c r="H106" s="12">
        <f>'Hazard &amp; Exposure'!W46</f>
        <v>8</v>
      </c>
      <c r="I106" s="12">
        <f>'Hazard &amp; Exposure'!T46</f>
        <v>8.3825408014047689</v>
      </c>
      <c r="J106" s="12">
        <f>'Hazard &amp; Exposure'!AA46</f>
        <v>8</v>
      </c>
      <c r="K106" s="12">
        <f t="shared" si="18"/>
        <v>7.1266963194629662</v>
      </c>
      <c r="L106" s="12">
        <f>Vulnerability!J46</f>
        <v>5.4077355730122045</v>
      </c>
      <c r="M106" s="12">
        <f>Vulnerability!O46</f>
        <v>4.0763266666666658</v>
      </c>
      <c r="N106" s="12">
        <f t="shared" si="19"/>
        <v>4.963932604230358</v>
      </c>
      <c r="O106" s="12">
        <f>Vulnerability!AA46</f>
        <v>3.5608964337867768</v>
      </c>
      <c r="P106" s="12">
        <f>Vulnerability!AG46</f>
        <v>1.2711042119543197</v>
      </c>
      <c r="Q106" s="12">
        <f t="shared" si="20"/>
        <v>2.4917048371856083</v>
      </c>
      <c r="R106" s="12">
        <f t="shared" si="21"/>
        <v>3.8320295076979454</v>
      </c>
      <c r="S106" s="12">
        <f>'Lack of Coping Capacity'!F46</f>
        <v>8.0745683600492235</v>
      </c>
      <c r="T106" s="12">
        <f>'Lack of Coping Capacity'!I46</f>
        <v>6.7364291846752167</v>
      </c>
      <c r="U106" s="12">
        <f>'Lack of Coping Capacity'!J46</f>
        <v>7.4054987723622201</v>
      </c>
      <c r="V106" s="12">
        <f>'Lack of Coping Capacity'!M46</f>
        <v>2.5117977238917955</v>
      </c>
      <c r="W106" s="12">
        <f>'Lack of Coping Capacity'!S46</f>
        <v>7.4126894605420075</v>
      </c>
      <c r="X106" s="12">
        <f>'Lack of Coping Capacity'!U46</f>
        <v>9.8647237723687979</v>
      </c>
      <c r="Y106" s="12">
        <f>'Lack of Coping Capacity'!V46</f>
        <v>6.5964036522675329</v>
      </c>
      <c r="Z106" s="12">
        <f>'Lack of Coping Capacity'!AB46</f>
        <v>7.7216164848659146</v>
      </c>
      <c r="AA106" s="12">
        <f>'Lack of Coping Capacity'!AI46</f>
        <v>1.726022765340498</v>
      </c>
      <c r="AB106" s="12">
        <f>'Lack of Coping Capacity'!AE46</f>
        <v>8.6456</v>
      </c>
      <c r="AC106" s="12">
        <f>'Lack of Coping Capacity'!AJ46</f>
        <v>6.0310797500688045</v>
      </c>
      <c r="AD106" s="12">
        <f t="shared" si="22"/>
        <v>6.7144938170764039</v>
      </c>
      <c r="AE106" s="12">
        <f t="shared" si="23"/>
        <v>5.6812442194004378</v>
      </c>
    </row>
    <row r="107" spans="1:31" x14ac:dyDescent="0.25">
      <c r="A107" s="117" t="s">
        <v>504</v>
      </c>
      <c r="B107" s="115" t="s">
        <v>523</v>
      </c>
      <c r="C107" s="115" t="s">
        <v>580</v>
      </c>
      <c r="D107" s="93" t="s">
        <v>524</v>
      </c>
      <c r="E107" s="12">
        <f>'Hazard &amp; Exposure'!O121</f>
        <v>1.0737571478425245</v>
      </c>
      <c r="F107" s="12">
        <f>'Hazard &amp; Exposure'!P121</f>
        <v>8.6026402158442963</v>
      </c>
      <c r="G107" s="159">
        <f>'Hazard &amp; Exposure'!Q121</f>
        <v>6.0933018000321955</v>
      </c>
      <c r="H107" s="12">
        <f>'Hazard &amp; Exposure'!W121</f>
        <v>6</v>
      </c>
      <c r="I107" s="12">
        <f>'Hazard &amp; Exposure'!T121</f>
        <v>9.6347316971429038</v>
      </c>
      <c r="J107" s="12">
        <f>'Hazard &amp; Exposure'!AA121</f>
        <v>7.8173658485714519</v>
      </c>
      <c r="K107" s="12">
        <f t="shared" si="18"/>
        <v>7.0457223662684276</v>
      </c>
      <c r="L107" s="12">
        <f>Vulnerability!J121</f>
        <v>8.0423672339105963</v>
      </c>
      <c r="M107" s="12">
        <f>Vulnerability!O121</f>
        <v>5.1324999999999994</v>
      </c>
      <c r="N107" s="12">
        <f t="shared" si="19"/>
        <v>7.0724114892737306</v>
      </c>
      <c r="O107" s="12">
        <f>Vulnerability!AA121</f>
        <v>2.0373943433760413</v>
      </c>
      <c r="P107" s="12">
        <f>Vulnerability!AG121</f>
        <v>1.8894455284238574</v>
      </c>
      <c r="Q107" s="12">
        <f t="shared" si="20"/>
        <v>1.9637190442936654</v>
      </c>
      <c r="R107" s="12">
        <f t="shared" si="21"/>
        <v>5.0329889602281694</v>
      </c>
      <c r="S107" s="12">
        <f>'Lack of Coping Capacity'!F121</f>
        <v>8.9376933232166333</v>
      </c>
      <c r="T107" s="12">
        <f>'Lack of Coping Capacity'!I121</f>
        <v>8.2354505062103271</v>
      </c>
      <c r="U107" s="12">
        <f>'Lack of Coping Capacity'!J121</f>
        <v>8.5865719147134811</v>
      </c>
      <c r="V107" s="12">
        <f>'Lack of Coping Capacity'!M121</f>
        <v>7.4741640376789604</v>
      </c>
      <c r="W107" s="12">
        <f>'Lack of Coping Capacity'!S121</f>
        <v>9.9237502699999993</v>
      </c>
      <c r="X107" s="12">
        <f>'Lack of Coping Capacity'!U121</f>
        <v>9.6</v>
      </c>
      <c r="Y107" s="12">
        <f>'Lack of Coping Capacity'!V121</f>
        <v>8.9993047692263204</v>
      </c>
      <c r="Z107" s="12">
        <f>'Lack of Coping Capacity'!AB121</f>
        <v>5.7536227849114523</v>
      </c>
      <c r="AA107" s="12">
        <f>'Lack of Coping Capacity'!AI121</f>
        <v>10</v>
      </c>
      <c r="AB107" s="12" t="str">
        <f>'Lack of Coping Capacity'!AE121</f>
        <v>x</v>
      </c>
      <c r="AC107" s="12">
        <f>'Lack of Coping Capacity'!AJ121</f>
        <v>7.8768113924557266</v>
      </c>
      <c r="AD107" s="12">
        <f t="shared" si="22"/>
        <v>8.527628812278703</v>
      </c>
      <c r="AE107" s="12">
        <f t="shared" si="23"/>
        <v>6.7121233758522472</v>
      </c>
    </row>
    <row r="108" spans="1:31" x14ac:dyDescent="0.25">
      <c r="A108" s="117" t="s">
        <v>408</v>
      </c>
      <c r="B108" s="115" t="s">
        <v>410</v>
      </c>
      <c r="C108" s="115" t="s">
        <v>576</v>
      </c>
      <c r="D108" s="93" t="s">
        <v>635</v>
      </c>
      <c r="E108" s="12">
        <f>'Hazard &amp; Exposure'!O43</f>
        <v>8.8081765924041928</v>
      </c>
      <c r="F108" s="12">
        <f>'Hazard &amp; Exposure'!P43</f>
        <v>0.7840698756824851</v>
      </c>
      <c r="G108" s="159">
        <f>'Hazard &amp; Exposure'!Q43</f>
        <v>6.2343806759549594</v>
      </c>
      <c r="H108" s="12">
        <f>'Hazard &amp; Exposure'!W43</f>
        <v>8</v>
      </c>
      <c r="I108" s="12">
        <f>'Hazard &amp; Exposure'!T43</f>
        <v>8.3825408014047689</v>
      </c>
      <c r="J108" s="12">
        <f>'Hazard &amp; Exposure'!AA43</f>
        <v>8</v>
      </c>
      <c r="K108" s="12">
        <f t="shared" si="18"/>
        <v>7.2159795032308294</v>
      </c>
      <c r="L108" s="12">
        <f>Vulnerability!J43</f>
        <v>5.2972944994916604</v>
      </c>
      <c r="M108" s="12">
        <f>Vulnerability!O43</f>
        <v>4.0856599999999998</v>
      </c>
      <c r="N108" s="12">
        <f t="shared" si="19"/>
        <v>4.8934163329944402</v>
      </c>
      <c r="O108" s="12">
        <f>Vulnerability!AA43</f>
        <v>3.5608964337867768</v>
      </c>
      <c r="P108" s="12">
        <f>Vulnerability!AG43</f>
        <v>1.2711042119543197</v>
      </c>
      <c r="Q108" s="12">
        <f t="shared" si="20"/>
        <v>2.4917048371856083</v>
      </c>
      <c r="R108" s="12">
        <f t="shared" si="21"/>
        <v>3.7903982100438478</v>
      </c>
      <c r="S108" s="12">
        <f>'Lack of Coping Capacity'!F43</f>
        <v>8.0745683600492235</v>
      </c>
      <c r="T108" s="12">
        <f>'Lack of Coping Capacity'!I43</f>
        <v>6.7364291846752167</v>
      </c>
      <c r="U108" s="12">
        <f>'Lack of Coping Capacity'!J43</f>
        <v>7.4054987723622201</v>
      </c>
      <c r="V108" s="12">
        <f>'Lack of Coping Capacity'!M43</f>
        <v>2.5117977238917955</v>
      </c>
      <c r="W108" s="12">
        <f>'Lack of Coping Capacity'!S43</f>
        <v>7.4126894605420075</v>
      </c>
      <c r="X108" s="12">
        <f>'Lack of Coping Capacity'!U43</f>
        <v>9.8647237723687979</v>
      </c>
      <c r="Y108" s="12">
        <f>'Lack of Coping Capacity'!V43</f>
        <v>6.5964036522675329</v>
      </c>
      <c r="Z108" s="12">
        <f>'Lack of Coping Capacity'!AB43</f>
        <v>7.7216164848659146</v>
      </c>
      <c r="AA108" s="12">
        <f>'Lack of Coping Capacity'!AI43</f>
        <v>1.726022765340498</v>
      </c>
      <c r="AB108" s="12">
        <f>'Lack of Coping Capacity'!AE43</f>
        <v>8.6456</v>
      </c>
      <c r="AC108" s="12">
        <f>'Lack of Coping Capacity'!AJ43</f>
        <v>6.0310797500688045</v>
      </c>
      <c r="AD108" s="12">
        <f t="shared" si="22"/>
        <v>6.7144938170764039</v>
      </c>
      <c r="AE108" s="12">
        <f t="shared" si="23"/>
        <v>5.6841361144558427</v>
      </c>
    </row>
    <row r="109" spans="1:31" x14ac:dyDescent="0.25">
      <c r="A109" s="117" t="s">
        <v>408</v>
      </c>
      <c r="B109" s="115" t="s">
        <v>420</v>
      </c>
      <c r="C109" s="115" t="s">
        <v>576</v>
      </c>
      <c r="D109" s="93" t="s">
        <v>645</v>
      </c>
      <c r="E109" s="12">
        <f>'Hazard &amp; Exposure'!O53</f>
        <v>8.7380824772242818</v>
      </c>
      <c r="F109" s="12">
        <f>'Hazard &amp; Exposure'!P53</f>
        <v>1.3842163226235391</v>
      </c>
      <c r="G109" s="159">
        <f>'Hazard &amp; Exposure'!Q53</f>
        <v>6.3067173042000269</v>
      </c>
      <c r="H109" s="12">
        <f>'Hazard &amp; Exposure'!W53</f>
        <v>8</v>
      </c>
      <c r="I109" s="12">
        <f>'Hazard &amp; Exposure'!T53</f>
        <v>8.3825408014047689</v>
      </c>
      <c r="J109" s="12">
        <f>'Hazard &amp; Exposure'!AA53</f>
        <v>8</v>
      </c>
      <c r="K109" s="12">
        <f t="shared" si="18"/>
        <v>7.244975708045863</v>
      </c>
      <c r="L109" s="12">
        <f>Vulnerability!J53</f>
        <v>5.5050837491295574</v>
      </c>
      <c r="M109" s="12">
        <f>Vulnerability!O53</f>
        <v>4.8942155555555544</v>
      </c>
      <c r="N109" s="12">
        <f t="shared" si="19"/>
        <v>5.3014610179382231</v>
      </c>
      <c r="O109" s="12">
        <f>Vulnerability!AA53</f>
        <v>3.5608964337867768</v>
      </c>
      <c r="P109" s="12">
        <f>Vulnerability!AG53</f>
        <v>1.2711042119543197</v>
      </c>
      <c r="Q109" s="12">
        <f t="shared" si="20"/>
        <v>2.4917048371856083</v>
      </c>
      <c r="R109" s="12">
        <f t="shared" si="21"/>
        <v>4.034690090396877</v>
      </c>
      <c r="S109" s="12">
        <f>'Lack of Coping Capacity'!F53</f>
        <v>8.0745683600492235</v>
      </c>
      <c r="T109" s="12">
        <f>'Lack of Coping Capacity'!I53</f>
        <v>6.7364291846752167</v>
      </c>
      <c r="U109" s="12">
        <f>'Lack of Coping Capacity'!J53</f>
        <v>7.4054987723622201</v>
      </c>
      <c r="V109" s="12">
        <f>'Lack of Coping Capacity'!M53</f>
        <v>2.5117977238917955</v>
      </c>
      <c r="W109" s="12">
        <f>'Lack of Coping Capacity'!S53</f>
        <v>7.4126894605420075</v>
      </c>
      <c r="X109" s="12">
        <f>'Lack of Coping Capacity'!U53</f>
        <v>9.8647237723687979</v>
      </c>
      <c r="Y109" s="12">
        <f>'Lack of Coping Capacity'!V53</f>
        <v>6.5964036522675329</v>
      </c>
      <c r="Z109" s="12">
        <f>'Lack of Coping Capacity'!AB53</f>
        <v>7.7216164848659146</v>
      </c>
      <c r="AA109" s="12">
        <f>'Lack of Coping Capacity'!AI53</f>
        <v>1.726022765340498</v>
      </c>
      <c r="AB109" s="12">
        <f>'Lack of Coping Capacity'!AE53</f>
        <v>8.6456</v>
      </c>
      <c r="AC109" s="12">
        <f>'Lack of Coping Capacity'!AJ53</f>
        <v>6.0310797500688045</v>
      </c>
      <c r="AD109" s="12">
        <f t="shared" si="22"/>
        <v>6.7144938170764039</v>
      </c>
      <c r="AE109" s="12">
        <f t="shared" si="23"/>
        <v>5.8114806732318245</v>
      </c>
    </row>
    <row r="110" spans="1:31" x14ac:dyDescent="0.25">
      <c r="A110" s="117" t="s">
        <v>525</v>
      </c>
      <c r="B110" s="115" t="s">
        <v>542</v>
      </c>
      <c r="C110" s="115" t="s">
        <v>579</v>
      </c>
      <c r="D110" s="93" t="s">
        <v>543</v>
      </c>
      <c r="E110" s="12">
        <f>'Hazard &amp; Exposure'!O130</f>
        <v>4.3782039571043248</v>
      </c>
      <c r="F110" s="12">
        <f>'Hazard &amp; Exposure'!P130</f>
        <v>8.362436798533162</v>
      </c>
      <c r="G110" s="159">
        <f>'Hazard &amp; Exposure'!Q130</f>
        <v>6.8091849212293321</v>
      </c>
      <c r="H110" s="12">
        <f>'Hazard &amp; Exposure'!W130</f>
        <v>6</v>
      </c>
      <c r="I110" s="12">
        <f>'Hazard &amp; Exposure'!T130</f>
        <v>10</v>
      </c>
      <c r="J110" s="12">
        <f>'Hazard &amp; Exposure'!AA130</f>
        <v>8</v>
      </c>
      <c r="K110" s="12">
        <f t="shared" si="18"/>
        <v>7.4527275379300413</v>
      </c>
      <c r="L110" s="12">
        <f>Vulnerability!J130</f>
        <v>5.6665031421731635</v>
      </c>
      <c r="M110" s="12">
        <f>Vulnerability!O130</f>
        <v>5.472427492671776</v>
      </c>
      <c r="N110" s="12">
        <f t="shared" si="19"/>
        <v>5.601811259006034</v>
      </c>
      <c r="O110" s="12">
        <f>Vulnerability!AA130</f>
        <v>4.212569100281697</v>
      </c>
      <c r="P110" s="12">
        <f>Vulnerability!AG130</f>
        <v>3.0958944822022172</v>
      </c>
      <c r="Q110" s="12">
        <f t="shared" si="20"/>
        <v>3.6751640537130745</v>
      </c>
      <c r="R110" s="12">
        <f t="shared" si="21"/>
        <v>4.710575037969722</v>
      </c>
      <c r="S110" s="12">
        <f>'Lack of Coping Capacity'!F130</f>
        <v>9.0741303159868121</v>
      </c>
      <c r="T110" s="12">
        <f>'Lack of Coping Capacity'!I130</f>
        <v>8.4814011573791497</v>
      </c>
      <c r="U110" s="12">
        <f>'Lack of Coping Capacity'!J130</f>
        <v>8.77776573668298</v>
      </c>
      <c r="V110" s="12">
        <f>'Lack of Coping Capacity'!M130</f>
        <v>4.0873843546619799</v>
      </c>
      <c r="W110" s="12">
        <f>'Lack of Coping Capacity'!S130</f>
        <v>6.9611111111111104</v>
      </c>
      <c r="X110" s="12">
        <f>'Lack of Coping Capacity'!U130</f>
        <v>7.313265781810947</v>
      </c>
      <c r="Y110" s="12">
        <f>'Lack of Coping Capacity'!V130</f>
        <v>6.1205870825280124</v>
      </c>
      <c r="Z110" s="12">
        <f>'Lack of Coping Capacity'!AB130</f>
        <v>8.3770804987890024</v>
      </c>
      <c r="AA110" s="12">
        <f>'Lack of Coping Capacity'!AI130</f>
        <v>5.1365251441479209</v>
      </c>
      <c r="AB110" s="12">
        <f>'Lack of Coping Capacity'!AE130</f>
        <v>9.69</v>
      </c>
      <c r="AC110" s="12">
        <f>'Lack of Coping Capacity'!AJ130</f>
        <v>7.7345352143123085</v>
      </c>
      <c r="AD110" s="12">
        <f t="shared" si="22"/>
        <v>7.7106806509985324</v>
      </c>
      <c r="AE110" s="12">
        <f t="shared" si="23"/>
        <v>6.4688532011980318</v>
      </c>
    </row>
    <row r="111" spans="1:31" x14ac:dyDescent="0.25">
      <c r="A111" s="117" t="s">
        <v>525</v>
      </c>
      <c r="B111" s="115" t="s">
        <v>544</v>
      </c>
      <c r="C111" s="115" t="s">
        <v>579</v>
      </c>
      <c r="D111" s="93" t="s">
        <v>545</v>
      </c>
      <c r="E111" s="12">
        <f>'Hazard &amp; Exposure'!O131</f>
        <v>8.9336417539340705</v>
      </c>
      <c r="F111" s="12">
        <f>'Hazard &amp; Exposure'!P131</f>
        <v>5.763522441245243</v>
      </c>
      <c r="G111" s="159">
        <f>'Hazard &amp; Exposure'!Q131</f>
        <v>7.6987496907131989</v>
      </c>
      <c r="H111" s="12">
        <f>'Hazard &amp; Exposure'!W131</f>
        <v>3</v>
      </c>
      <c r="I111" s="12">
        <f>'Hazard &amp; Exposure'!T131</f>
        <v>10</v>
      </c>
      <c r="J111" s="12">
        <f>'Hazard &amp; Exposure'!AA131</f>
        <v>6.5</v>
      </c>
      <c r="K111" s="12">
        <f t="shared" si="18"/>
        <v>7.1444024426148092</v>
      </c>
      <c r="L111" s="12">
        <f>Vulnerability!J131</f>
        <v>5.4164634182613591</v>
      </c>
      <c r="M111" s="12">
        <f>Vulnerability!O131</f>
        <v>5.472427492671776</v>
      </c>
      <c r="N111" s="12">
        <f t="shared" si="19"/>
        <v>5.4351181097314978</v>
      </c>
      <c r="O111" s="12">
        <f>Vulnerability!AA131</f>
        <v>0</v>
      </c>
      <c r="P111" s="12">
        <f>Vulnerability!AG131</f>
        <v>1.3074067872768502</v>
      </c>
      <c r="Q111" s="12">
        <f t="shared" si="20"/>
        <v>0.67415523103750985</v>
      </c>
      <c r="R111" s="12">
        <f t="shared" si="21"/>
        <v>3.4143527979635846</v>
      </c>
      <c r="S111" s="12">
        <f>'Lack of Coping Capacity'!F131</f>
        <v>9.0741303159868121</v>
      </c>
      <c r="T111" s="12">
        <f>'Lack of Coping Capacity'!I131</f>
        <v>8.4814011573791497</v>
      </c>
      <c r="U111" s="12">
        <f>'Lack of Coping Capacity'!J131</f>
        <v>8.77776573668298</v>
      </c>
      <c r="V111" s="12">
        <f>'Lack of Coping Capacity'!M131</f>
        <v>4.0873843546619799</v>
      </c>
      <c r="W111" s="12">
        <f>'Lack of Coping Capacity'!S131</f>
        <v>6.9611111111111104</v>
      </c>
      <c r="X111" s="12">
        <f>'Lack of Coping Capacity'!U131</f>
        <v>7.313265781810947</v>
      </c>
      <c r="Y111" s="12">
        <f>'Lack of Coping Capacity'!V131</f>
        <v>6.1205870825280124</v>
      </c>
      <c r="Z111" s="12">
        <f>'Lack of Coping Capacity'!AB131</f>
        <v>8.3770804987890024</v>
      </c>
      <c r="AA111" s="12">
        <f>'Lack of Coping Capacity'!AI131</f>
        <v>5.1365251441479209</v>
      </c>
      <c r="AB111" s="12">
        <f>'Lack of Coping Capacity'!AE131</f>
        <v>9.69</v>
      </c>
      <c r="AC111" s="12">
        <f>'Lack of Coping Capacity'!AJ131</f>
        <v>7.7345352143123085</v>
      </c>
      <c r="AD111" s="12">
        <f t="shared" si="22"/>
        <v>7.7106806509985324</v>
      </c>
      <c r="AE111" s="12">
        <f t="shared" si="23"/>
        <v>5.7295740966197304</v>
      </c>
    </row>
    <row r="112" spans="1:31" x14ac:dyDescent="0.25">
      <c r="A112" s="117" t="s">
        <v>408</v>
      </c>
      <c r="B112" s="115" t="s">
        <v>409</v>
      </c>
      <c r="C112" s="115" t="s">
        <v>576</v>
      </c>
      <c r="D112" s="93" t="s">
        <v>634</v>
      </c>
      <c r="E112" s="12">
        <f>'Hazard &amp; Exposure'!O42</f>
        <v>8.7370916407249997</v>
      </c>
      <c r="F112" s="12">
        <f>'Hazard &amp; Exposure'!P42</f>
        <v>2.6164840181982973</v>
      </c>
      <c r="G112" s="159">
        <f>'Hazard &amp; Exposure'!Q42</f>
        <v>6.6204084809824595</v>
      </c>
      <c r="H112" s="12">
        <f>'Hazard &amp; Exposure'!W42</f>
        <v>8</v>
      </c>
      <c r="I112" s="12">
        <f>'Hazard &amp; Exposure'!T42</f>
        <v>8.3825408014047689</v>
      </c>
      <c r="J112" s="12">
        <f>'Hazard &amp; Exposure'!AA42</f>
        <v>8</v>
      </c>
      <c r="K112" s="12">
        <f t="shared" si="18"/>
        <v>7.3733210087526144</v>
      </c>
      <c r="L112" s="12">
        <f>Vulnerability!J42</f>
        <v>5.6109500943193051</v>
      </c>
      <c r="M112" s="12">
        <f>Vulnerability!O42</f>
        <v>4.5304377777777782</v>
      </c>
      <c r="N112" s="12">
        <f t="shared" si="19"/>
        <v>5.2507793221387962</v>
      </c>
      <c r="O112" s="12">
        <f>Vulnerability!AA42</f>
        <v>3.5608964337867768</v>
      </c>
      <c r="P112" s="12">
        <f>Vulnerability!AG42</f>
        <v>4.6467511950681484</v>
      </c>
      <c r="Q112" s="12">
        <f t="shared" si="20"/>
        <v>4.1248885897756598</v>
      </c>
      <c r="R112" s="12">
        <f t="shared" si="21"/>
        <v>4.712550184885866</v>
      </c>
      <c r="S112" s="12">
        <f>'Lack of Coping Capacity'!F42</f>
        <v>8.0745683600492235</v>
      </c>
      <c r="T112" s="12">
        <f>'Lack of Coping Capacity'!I42</f>
        <v>6.7364291846752167</v>
      </c>
      <c r="U112" s="12">
        <f>'Lack of Coping Capacity'!J42</f>
        <v>7.4054987723622201</v>
      </c>
      <c r="V112" s="12">
        <f>'Lack of Coping Capacity'!M42</f>
        <v>2.5117977238917955</v>
      </c>
      <c r="W112" s="12">
        <f>'Lack of Coping Capacity'!S42</f>
        <v>7.4126894605420075</v>
      </c>
      <c r="X112" s="12">
        <f>'Lack of Coping Capacity'!U42</f>
        <v>9.8647237723687979</v>
      </c>
      <c r="Y112" s="12">
        <f>'Lack of Coping Capacity'!V42</f>
        <v>6.5964036522675329</v>
      </c>
      <c r="Z112" s="12">
        <f>'Lack of Coping Capacity'!AB42</f>
        <v>7.7216164848659146</v>
      </c>
      <c r="AA112" s="12">
        <f>'Lack of Coping Capacity'!AI42</f>
        <v>1.726022765340498</v>
      </c>
      <c r="AB112" s="12">
        <f>'Lack of Coping Capacity'!AE42</f>
        <v>8.6456</v>
      </c>
      <c r="AC112" s="12">
        <f>'Lack of Coping Capacity'!AJ42</f>
        <v>6.0310797500688045</v>
      </c>
      <c r="AD112" s="12">
        <f t="shared" si="22"/>
        <v>6.7144938170764039</v>
      </c>
      <c r="AE112" s="12">
        <f t="shared" si="23"/>
        <v>6.1561728152675848</v>
      </c>
    </row>
    <row r="113" spans="1:31" x14ac:dyDescent="0.25">
      <c r="A113" s="117" t="s">
        <v>385</v>
      </c>
      <c r="B113" s="115" t="s">
        <v>388</v>
      </c>
      <c r="C113" s="115" t="s">
        <v>575</v>
      </c>
      <c r="D113" s="93" t="s">
        <v>389</v>
      </c>
      <c r="E113" s="12">
        <f>'Hazard &amp; Exposure'!O32</f>
        <v>8.8640713244410492</v>
      </c>
      <c r="F113" s="12">
        <f>'Hazard &amp; Exposure'!P32</f>
        <v>7.648025458357548</v>
      </c>
      <c r="G113" s="159">
        <f>'Hazard &amp; Exposure'!Q32</f>
        <v>8.3215428207866893</v>
      </c>
      <c r="H113" s="12">
        <f>'Hazard &amp; Exposure'!W32</f>
        <v>5</v>
      </c>
      <c r="I113" s="12">
        <f>'Hazard &amp; Exposure'!T32</f>
        <v>8.067210585702945</v>
      </c>
      <c r="J113" s="12">
        <f>'Hazard &amp; Exposure'!AA32</f>
        <v>6.5336052928514725</v>
      </c>
      <c r="K113" s="12">
        <f t="shared" si="18"/>
        <v>7.537700264399998</v>
      </c>
      <c r="L113" s="12">
        <f>Vulnerability!J32</f>
        <v>9.2283886253020562</v>
      </c>
      <c r="M113" s="12">
        <f>Vulnerability!O32</f>
        <v>3.4794257777777773</v>
      </c>
      <c r="N113" s="12">
        <f t="shared" si="19"/>
        <v>7.3120676761272962</v>
      </c>
      <c r="O113" s="12">
        <f>Vulnerability!AA32</f>
        <v>6.633414887958236</v>
      </c>
      <c r="P113" s="12">
        <f>Vulnerability!AG32</f>
        <v>1.5551850636567246</v>
      </c>
      <c r="Q113" s="12">
        <f t="shared" si="20"/>
        <v>4.5698165930959895</v>
      </c>
      <c r="R113" s="12">
        <f t="shared" si="21"/>
        <v>6.1260672803147393</v>
      </c>
      <c r="S113" s="12">
        <f>'Lack of Coping Capacity'!F32</f>
        <v>8.0127683565050205</v>
      </c>
      <c r="T113" s="12">
        <f>'Lack of Coping Capacity'!I32</f>
        <v>6.3694647312164303</v>
      </c>
      <c r="U113" s="12">
        <f>'Lack of Coping Capacity'!J32</f>
        <v>7.1911165438607254</v>
      </c>
      <c r="V113" s="12">
        <f>'Lack of Coping Capacity'!M32</f>
        <v>8.4472657303624654</v>
      </c>
      <c r="W113" s="12">
        <f>'Lack of Coping Capacity'!S32</f>
        <v>8.2329977628635334</v>
      </c>
      <c r="X113" s="12">
        <f>'Lack of Coping Capacity'!U32</f>
        <v>8.4059639223302298</v>
      </c>
      <c r="Y113" s="12">
        <f>'Lack of Coping Capacity'!V32</f>
        <v>8.3620758051854107</v>
      </c>
      <c r="Z113" s="12">
        <f>'Lack of Coping Capacity'!AB32</f>
        <v>5.0693877117172024</v>
      </c>
      <c r="AA113" s="12">
        <f>'Lack of Coping Capacity'!AI32</f>
        <v>6.9503220205383363</v>
      </c>
      <c r="AB113" s="12">
        <f>'Lack of Coping Capacity'!AE32</f>
        <v>9.838000000000001</v>
      </c>
      <c r="AC113" s="12">
        <f>'Lack of Coping Capacity'!AJ32</f>
        <v>7.2859032440851799</v>
      </c>
      <c r="AD113" s="12">
        <f t="shared" si="22"/>
        <v>7.6567032949783078</v>
      </c>
      <c r="AE113" s="12">
        <f t="shared" si="23"/>
        <v>7.071108177402829</v>
      </c>
    </row>
    <row r="114" spans="1:31" x14ac:dyDescent="0.25">
      <c r="A114" s="117" t="s">
        <v>408</v>
      </c>
      <c r="B114" s="115" t="s">
        <v>431</v>
      </c>
      <c r="C114" s="115" t="s">
        <v>576</v>
      </c>
      <c r="D114" s="93" t="s">
        <v>656</v>
      </c>
      <c r="E114" s="12">
        <f>'Hazard &amp; Exposure'!O64</f>
        <v>8.806034398033681</v>
      </c>
      <c r="F114" s="12">
        <f>'Hazard &amp; Exposure'!P64</f>
        <v>7.4986256228940444</v>
      </c>
      <c r="G114" s="159">
        <f>'Hazard &amp; Exposure'!Q64</f>
        <v>8.2254472056607018</v>
      </c>
      <c r="H114" s="12">
        <f>'Hazard &amp; Exposure'!W64</f>
        <v>5</v>
      </c>
      <c r="I114" s="12">
        <f>'Hazard &amp; Exposure'!T64</f>
        <v>8.3825408014047689</v>
      </c>
      <c r="J114" s="12">
        <f>'Hazard &amp; Exposure'!AA64</f>
        <v>6.6912704007023844</v>
      </c>
      <c r="K114" s="12">
        <f t="shared" si="18"/>
        <v>7.5398123549347593</v>
      </c>
      <c r="L114" s="12">
        <f>Vulnerability!J64</f>
        <v>5.9081521344954311</v>
      </c>
      <c r="M114" s="12">
        <f>Vulnerability!O64</f>
        <v>4.1389222222222219</v>
      </c>
      <c r="N114" s="12">
        <f t="shared" si="19"/>
        <v>5.3184088304043611</v>
      </c>
      <c r="O114" s="12">
        <f>Vulnerability!AA64</f>
        <v>3.5608964337867768</v>
      </c>
      <c r="P114" s="12">
        <f>Vulnerability!AG64</f>
        <v>1.7488052341613405</v>
      </c>
      <c r="Q114" s="12">
        <f t="shared" si="20"/>
        <v>2.703530053176193</v>
      </c>
      <c r="R114" s="12">
        <f t="shared" si="21"/>
        <v>4.1323852983623057</v>
      </c>
      <c r="S114" s="12">
        <f>'Lack of Coping Capacity'!F64</f>
        <v>8.0745683600492235</v>
      </c>
      <c r="T114" s="12">
        <f>'Lack of Coping Capacity'!I64</f>
        <v>6.7364291846752167</v>
      </c>
      <c r="U114" s="12">
        <f>'Lack of Coping Capacity'!J64</f>
        <v>7.4054987723622201</v>
      </c>
      <c r="V114" s="12">
        <f>'Lack of Coping Capacity'!M64</f>
        <v>2.5117977238917955</v>
      </c>
      <c r="W114" s="12">
        <f>'Lack of Coping Capacity'!S64</f>
        <v>7.4126894605420075</v>
      </c>
      <c r="X114" s="12">
        <f>'Lack of Coping Capacity'!U64</f>
        <v>9.8647237723687979</v>
      </c>
      <c r="Y114" s="12">
        <f>'Lack of Coping Capacity'!V64</f>
        <v>6.5964036522675329</v>
      </c>
      <c r="Z114" s="12">
        <f>'Lack of Coping Capacity'!AB64</f>
        <v>7.7216164848659146</v>
      </c>
      <c r="AA114" s="12">
        <f>'Lack of Coping Capacity'!AI64</f>
        <v>1.726022765340498</v>
      </c>
      <c r="AB114" s="12">
        <f>'Lack of Coping Capacity'!AE64</f>
        <v>8.6456</v>
      </c>
      <c r="AC114" s="12">
        <f>'Lack of Coping Capacity'!AJ64</f>
        <v>6.0310797500688045</v>
      </c>
      <c r="AD114" s="12">
        <f t="shared" si="22"/>
        <v>6.7144938170764039</v>
      </c>
      <c r="AE114" s="12">
        <f t="shared" si="23"/>
        <v>5.9364234854756788</v>
      </c>
    </row>
    <row r="115" spans="1:31" x14ac:dyDescent="0.25">
      <c r="A115" s="117" t="s">
        <v>408</v>
      </c>
      <c r="B115" s="115" t="s">
        <v>452</v>
      </c>
      <c r="C115" s="115" t="s">
        <v>576</v>
      </c>
      <c r="D115" s="93" t="s">
        <v>677</v>
      </c>
      <c r="E115" s="12">
        <f>'Hazard &amp; Exposure'!O85</f>
        <v>8.7807073755903282</v>
      </c>
      <c r="F115" s="12">
        <f>'Hazard &amp; Exposure'!P85</f>
        <v>2.2148784724333321</v>
      </c>
      <c r="G115" s="159">
        <f>'Hazard &amp; Exposure'!Q85</f>
        <v>6.5578909568426402</v>
      </c>
      <c r="H115" s="12">
        <f>'Hazard &amp; Exposure'!W85</f>
        <v>8</v>
      </c>
      <c r="I115" s="12">
        <f>'Hazard &amp; Exposure'!T85</f>
        <v>8.3825408014047689</v>
      </c>
      <c r="J115" s="12">
        <f>'Hazard &amp; Exposure'!AA85</f>
        <v>8</v>
      </c>
      <c r="K115" s="12">
        <f t="shared" si="18"/>
        <v>7.3473930274497317</v>
      </c>
      <c r="L115" s="12">
        <f>Vulnerability!J85</f>
        <v>5.0391955554639667</v>
      </c>
      <c r="M115" s="12">
        <f>Vulnerability!O85</f>
        <v>4.8582155555555557</v>
      </c>
      <c r="N115" s="12">
        <f t="shared" si="19"/>
        <v>4.9788688888278294</v>
      </c>
      <c r="O115" s="12">
        <f>Vulnerability!AA85</f>
        <v>3.5608964337867768</v>
      </c>
      <c r="P115" s="12">
        <f>Vulnerability!AG85</f>
        <v>1.2711042119543197</v>
      </c>
      <c r="Q115" s="12">
        <f t="shared" si="20"/>
        <v>2.4917048371856083</v>
      </c>
      <c r="R115" s="12">
        <f t="shared" si="21"/>
        <v>3.8408781654635389</v>
      </c>
      <c r="S115" s="12">
        <f>'Lack of Coping Capacity'!F85</f>
        <v>8.0745683600492235</v>
      </c>
      <c r="T115" s="12">
        <f>'Lack of Coping Capacity'!I85</f>
        <v>6.7364291846752167</v>
      </c>
      <c r="U115" s="12">
        <f>'Lack of Coping Capacity'!J85</f>
        <v>7.4054987723622201</v>
      </c>
      <c r="V115" s="12">
        <f>'Lack of Coping Capacity'!M85</f>
        <v>2.5117977238917955</v>
      </c>
      <c r="W115" s="12">
        <f>'Lack of Coping Capacity'!S85</f>
        <v>7.4126894605420075</v>
      </c>
      <c r="X115" s="12">
        <f>'Lack of Coping Capacity'!U85</f>
        <v>9.8647237723687979</v>
      </c>
      <c r="Y115" s="12">
        <f>'Lack of Coping Capacity'!V85</f>
        <v>6.5964036522675329</v>
      </c>
      <c r="Z115" s="12">
        <f>'Lack of Coping Capacity'!AB85</f>
        <v>7.7216164848659146</v>
      </c>
      <c r="AA115" s="12">
        <f>'Lack of Coping Capacity'!AI85</f>
        <v>1.726022765340498</v>
      </c>
      <c r="AB115" s="12">
        <f>'Lack of Coping Capacity'!AE85</f>
        <v>8.6456</v>
      </c>
      <c r="AC115" s="12">
        <f>'Lack of Coping Capacity'!AJ85</f>
        <v>6.0310797500688045</v>
      </c>
      <c r="AD115" s="12">
        <f t="shared" si="22"/>
        <v>6.7144938170764039</v>
      </c>
      <c r="AE115" s="12">
        <f t="shared" si="23"/>
        <v>5.7437080983153823</v>
      </c>
    </row>
    <row r="116" spans="1:31" x14ac:dyDescent="0.25">
      <c r="A116" s="117" t="s">
        <v>408</v>
      </c>
      <c r="B116" s="115" t="s">
        <v>430</v>
      </c>
      <c r="C116" s="115" t="s">
        <v>576</v>
      </c>
      <c r="D116" s="93" t="s">
        <v>655</v>
      </c>
      <c r="E116" s="12">
        <f>'Hazard &amp; Exposure'!O63</f>
        <v>8.8538258100688765</v>
      </c>
      <c r="F116" s="12">
        <f>'Hazard &amp; Exposure'!P63</f>
        <v>5.6884812824541244</v>
      </c>
      <c r="G116" s="159">
        <f>'Hazard &amp; Exposure'!Q63</f>
        <v>7.6124795778940744</v>
      </c>
      <c r="H116" s="12">
        <f>'Hazard &amp; Exposure'!W63</f>
        <v>5</v>
      </c>
      <c r="I116" s="12">
        <f>'Hazard &amp; Exposure'!T63</f>
        <v>8.3825408014047689</v>
      </c>
      <c r="J116" s="12">
        <f>'Hazard &amp; Exposure'!AA63</f>
        <v>6.6912704007023844</v>
      </c>
      <c r="K116" s="12">
        <f t="shared" si="18"/>
        <v>7.1787588785113465</v>
      </c>
      <c r="L116" s="12">
        <f>Vulnerability!J63</f>
        <v>5.3187980957517684</v>
      </c>
      <c r="M116" s="12">
        <f>Vulnerability!O63</f>
        <v>4.6465888888888882</v>
      </c>
      <c r="N116" s="12">
        <f t="shared" si="19"/>
        <v>5.0947283601308087</v>
      </c>
      <c r="O116" s="12">
        <f>Vulnerability!AA63</f>
        <v>3.5608964337867768</v>
      </c>
      <c r="P116" s="12">
        <f>Vulnerability!AG63</f>
        <v>1.2711042119543197</v>
      </c>
      <c r="Q116" s="12">
        <f t="shared" si="20"/>
        <v>2.4917048371856083</v>
      </c>
      <c r="R116" s="12">
        <f t="shared" si="21"/>
        <v>3.9098857132960427</v>
      </c>
      <c r="S116" s="12">
        <f>'Lack of Coping Capacity'!F63</f>
        <v>8.0745683600492235</v>
      </c>
      <c r="T116" s="12">
        <f>'Lack of Coping Capacity'!I63</f>
        <v>6.7364291846752167</v>
      </c>
      <c r="U116" s="12">
        <f>'Lack of Coping Capacity'!J63</f>
        <v>7.4054987723622201</v>
      </c>
      <c r="V116" s="12">
        <f>'Lack of Coping Capacity'!M63</f>
        <v>2.5117977238917955</v>
      </c>
      <c r="W116" s="12">
        <f>'Lack of Coping Capacity'!S63</f>
        <v>7.4126894605420075</v>
      </c>
      <c r="X116" s="12">
        <f>'Lack of Coping Capacity'!U63</f>
        <v>9.8647237723687979</v>
      </c>
      <c r="Y116" s="12">
        <f>'Lack of Coping Capacity'!V63</f>
        <v>6.5964036522675329</v>
      </c>
      <c r="Z116" s="12">
        <f>'Lack of Coping Capacity'!AB63</f>
        <v>7.7216164848659146</v>
      </c>
      <c r="AA116" s="12">
        <f>'Lack of Coping Capacity'!AI63</f>
        <v>1.726022765340498</v>
      </c>
      <c r="AB116" s="12">
        <f>'Lack of Coping Capacity'!AE63</f>
        <v>8.6456</v>
      </c>
      <c r="AC116" s="12">
        <f>'Lack of Coping Capacity'!AJ63</f>
        <v>6.0310797500688045</v>
      </c>
      <c r="AD116" s="12">
        <f t="shared" si="22"/>
        <v>6.7144938170764039</v>
      </c>
      <c r="AE116" s="12">
        <f t="shared" si="23"/>
        <v>5.733355913078424</v>
      </c>
    </row>
    <row r="117" spans="1:31" x14ac:dyDescent="0.25">
      <c r="A117" s="117" t="s">
        <v>408</v>
      </c>
      <c r="B117" s="115" t="s">
        <v>451</v>
      </c>
      <c r="C117" s="115" t="s">
        <v>576</v>
      </c>
      <c r="D117" s="93" t="s">
        <v>676</v>
      </c>
      <c r="E117" s="12">
        <f>'Hazard &amp; Exposure'!O84</f>
        <v>6.8563819117813427</v>
      </c>
      <c r="F117" s="12">
        <f>'Hazard &amp; Exposure'!P84</f>
        <v>7.3551768396219348</v>
      </c>
      <c r="G117" s="159">
        <f>'Hazard &amp; Exposure'!Q84</f>
        <v>7.113551453561473</v>
      </c>
      <c r="H117" s="12">
        <f>'Hazard &amp; Exposure'!W84</f>
        <v>8</v>
      </c>
      <c r="I117" s="12">
        <f>'Hazard &amp; Exposure'!T84</f>
        <v>8.3825408014047689</v>
      </c>
      <c r="J117" s="12">
        <f>'Hazard &amp; Exposure'!AA84</f>
        <v>8</v>
      </c>
      <c r="K117" s="12">
        <f t="shared" si="18"/>
        <v>7.5845189504080608</v>
      </c>
      <c r="L117" s="12">
        <f>Vulnerability!J84</f>
        <v>7.1563497766756603</v>
      </c>
      <c r="M117" s="12">
        <f>Vulnerability!O84</f>
        <v>4.2354377777777774</v>
      </c>
      <c r="N117" s="12">
        <f t="shared" si="19"/>
        <v>6.1827124437096996</v>
      </c>
      <c r="O117" s="12">
        <f>Vulnerability!AA84</f>
        <v>7.9364070239727917</v>
      </c>
      <c r="P117" s="12">
        <f>Vulnerability!AG84</f>
        <v>7.999427711800486</v>
      </c>
      <c r="Q117" s="12">
        <f t="shared" si="20"/>
        <v>7.9680753165850771</v>
      </c>
      <c r="R117" s="12">
        <f t="shared" si="21"/>
        <v>7.1753604303213532</v>
      </c>
      <c r="S117" s="12">
        <f>'Lack of Coping Capacity'!F84</f>
        <v>8.0745683600492235</v>
      </c>
      <c r="T117" s="12">
        <f>'Lack of Coping Capacity'!I84</f>
        <v>6.7364291846752167</v>
      </c>
      <c r="U117" s="12">
        <f>'Lack of Coping Capacity'!J84</f>
        <v>7.4054987723622201</v>
      </c>
      <c r="V117" s="12">
        <f>'Lack of Coping Capacity'!M84</f>
        <v>2.5117977238917955</v>
      </c>
      <c r="W117" s="12">
        <f>'Lack of Coping Capacity'!S84</f>
        <v>7.4126894605420075</v>
      </c>
      <c r="X117" s="12">
        <f>'Lack of Coping Capacity'!U84</f>
        <v>9.8647237723687979</v>
      </c>
      <c r="Y117" s="12">
        <f>'Lack of Coping Capacity'!V84</f>
        <v>6.5964036522675329</v>
      </c>
      <c r="Z117" s="12">
        <f>'Lack of Coping Capacity'!AB84</f>
        <v>7.7216164848659146</v>
      </c>
      <c r="AA117" s="12">
        <f>'Lack of Coping Capacity'!AI84</f>
        <v>1.726022765340498</v>
      </c>
      <c r="AB117" s="12">
        <f>'Lack of Coping Capacity'!AE84</f>
        <v>8.6456</v>
      </c>
      <c r="AC117" s="12">
        <f>'Lack of Coping Capacity'!AJ84</f>
        <v>6.0310797500688045</v>
      </c>
      <c r="AD117" s="12">
        <f t="shared" si="22"/>
        <v>6.7144938170764039</v>
      </c>
      <c r="AE117" s="12">
        <f t="shared" si="23"/>
        <v>7.1492696893041208</v>
      </c>
    </row>
    <row r="118" spans="1:31" x14ac:dyDescent="0.25">
      <c r="A118" s="117" t="s">
        <v>525</v>
      </c>
      <c r="B118" s="115" t="s">
        <v>538</v>
      </c>
      <c r="C118" s="115" t="s">
        <v>579</v>
      </c>
      <c r="D118" s="93" t="s">
        <v>539</v>
      </c>
      <c r="E118" s="12">
        <f>'Hazard &amp; Exposure'!O128</f>
        <v>9.2840393996551143</v>
      </c>
      <c r="F118" s="12">
        <f>'Hazard &amp; Exposure'!P128</f>
        <v>1.7405226668919265</v>
      </c>
      <c r="G118" s="159">
        <f>'Hazard &amp; Exposure'!Q128</f>
        <v>6.9733898703640582</v>
      </c>
      <c r="H118" s="12">
        <f>'Hazard &amp; Exposure'!W128</f>
        <v>8</v>
      </c>
      <c r="I118" s="12">
        <f>'Hazard &amp; Exposure'!T128</f>
        <v>10</v>
      </c>
      <c r="J118" s="12">
        <f>'Hazard &amp; Exposure'!AA128</f>
        <v>8</v>
      </c>
      <c r="K118" s="12">
        <f t="shared" si="18"/>
        <v>7.5232272603198656</v>
      </c>
      <c r="L118" s="12">
        <f>Vulnerability!J128</f>
        <v>4.7579407978391854</v>
      </c>
      <c r="M118" s="12">
        <f>Vulnerability!O128</f>
        <v>5.472427492671776</v>
      </c>
      <c r="N118" s="12">
        <f t="shared" si="19"/>
        <v>4.9961030294500484</v>
      </c>
      <c r="O118" s="12">
        <f>Vulnerability!AA128</f>
        <v>4.7060584360279645</v>
      </c>
      <c r="P118" s="12">
        <f>Vulnerability!AG128</f>
        <v>1.3074067872768502</v>
      </c>
      <c r="Q118" s="12">
        <f t="shared" si="20"/>
        <v>3.1868923732733645</v>
      </c>
      <c r="R118" s="12">
        <f t="shared" si="21"/>
        <v>4.1500291820768149</v>
      </c>
      <c r="S118" s="12">
        <f>'Lack of Coping Capacity'!F128</f>
        <v>9.0741303159868121</v>
      </c>
      <c r="T118" s="12">
        <f>'Lack of Coping Capacity'!I128</f>
        <v>8.4814011573791497</v>
      </c>
      <c r="U118" s="12">
        <f>'Lack of Coping Capacity'!J128</f>
        <v>8.77776573668298</v>
      </c>
      <c r="V118" s="12">
        <f>'Lack of Coping Capacity'!M128</f>
        <v>4.0873843546619799</v>
      </c>
      <c r="W118" s="12">
        <f>'Lack of Coping Capacity'!S128</f>
        <v>6.9611111111111104</v>
      </c>
      <c r="X118" s="12">
        <f>'Lack of Coping Capacity'!U128</f>
        <v>7.313265781810947</v>
      </c>
      <c r="Y118" s="12">
        <f>'Lack of Coping Capacity'!V128</f>
        <v>6.1205870825280124</v>
      </c>
      <c r="Z118" s="12">
        <f>'Lack of Coping Capacity'!AB128</f>
        <v>8.3770804987890024</v>
      </c>
      <c r="AA118" s="12">
        <f>'Lack of Coping Capacity'!AI128</f>
        <v>5.1365251441479209</v>
      </c>
      <c r="AB118" s="12">
        <f>'Lack of Coping Capacity'!AE128</f>
        <v>9.69</v>
      </c>
      <c r="AC118" s="12">
        <f>'Lack of Coping Capacity'!AJ128</f>
        <v>7.7345352143123085</v>
      </c>
      <c r="AD118" s="12">
        <f t="shared" si="22"/>
        <v>7.7106806509985324</v>
      </c>
      <c r="AE118" s="12">
        <f t="shared" si="23"/>
        <v>6.2208445548361961</v>
      </c>
    </row>
    <row r="119" spans="1:31" x14ac:dyDescent="0.25">
      <c r="A119" s="117" t="s">
        <v>408</v>
      </c>
      <c r="B119" s="115" t="s">
        <v>455</v>
      </c>
      <c r="C119" s="115" t="s">
        <v>576</v>
      </c>
      <c r="D119" s="93" t="s">
        <v>680</v>
      </c>
      <c r="E119" s="12">
        <f>'Hazard &amp; Exposure'!O88</f>
        <v>8.0335660674756895</v>
      </c>
      <c r="F119" s="12">
        <f>'Hazard &amp; Exposure'!P88</f>
        <v>5.0218944572049997</v>
      </c>
      <c r="G119" s="159">
        <f>'Hazard &amp; Exposure'!Q88</f>
        <v>6.782157596362886</v>
      </c>
      <c r="H119" s="12">
        <f>'Hazard &amp; Exposure'!W88</f>
        <v>8</v>
      </c>
      <c r="I119" s="12">
        <f>'Hazard &amp; Exposure'!T88</f>
        <v>8.3825408014047689</v>
      </c>
      <c r="J119" s="12">
        <f>'Hazard &amp; Exposure'!AA88</f>
        <v>8</v>
      </c>
      <c r="K119" s="12">
        <f t="shared" si="18"/>
        <v>7.4412534327785167</v>
      </c>
      <c r="L119" s="12">
        <f>Vulnerability!J88</f>
        <v>6.2024449274168125</v>
      </c>
      <c r="M119" s="12">
        <f>Vulnerability!O88</f>
        <v>4.5337711111111112</v>
      </c>
      <c r="N119" s="12">
        <f t="shared" si="19"/>
        <v>5.6462203219815779</v>
      </c>
      <c r="O119" s="12">
        <f>Vulnerability!AA88</f>
        <v>3.5608964337867768</v>
      </c>
      <c r="P119" s="12">
        <f>Vulnerability!AG88</f>
        <v>3.9724198048541988</v>
      </c>
      <c r="Q119" s="12">
        <f t="shared" si="20"/>
        <v>3.7695409876709918</v>
      </c>
      <c r="R119" s="12">
        <f t="shared" si="21"/>
        <v>4.7770066799119792</v>
      </c>
      <c r="S119" s="12">
        <f>'Lack of Coping Capacity'!F88</f>
        <v>8.0745683600492235</v>
      </c>
      <c r="T119" s="12">
        <f>'Lack of Coping Capacity'!I88</f>
        <v>6.7364291846752167</v>
      </c>
      <c r="U119" s="12">
        <f>'Lack of Coping Capacity'!J88</f>
        <v>7.4054987723622201</v>
      </c>
      <c r="V119" s="12">
        <f>'Lack of Coping Capacity'!M88</f>
        <v>2.5117977238917955</v>
      </c>
      <c r="W119" s="12">
        <f>'Lack of Coping Capacity'!S88</f>
        <v>7.4126894605420075</v>
      </c>
      <c r="X119" s="12">
        <f>'Lack of Coping Capacity'!U88</f>
        <v>9.8647237723687979</v>
      </c>
      <c r="Y119" s="12">
        <f>'Lack of Coping Capacity'!V88</f>
        <v>6.5964036522675329</v>
      </c>
      <c r="Z119" s="12">
        <f>'Lack of Coping Capacity'!AB88</f>
        <v>7.7216164848659146</v>
      </c>
      <c r="AA119" s="12">
        <f>'Lack of Coping Capacity'!AI88</f>
        <v>1.726022765340498</v>
      </c>
      <c r="AB119" s="12">
        <f>'Lack of Coping Capacity'!AE88</f>
        <v>8.6456</v>
      </c>
      <c r="AC119" s="12">
        <f>'Lack of Coping Capacity'!AJ88</f>
        <v>6.0310797500688045</v>
      </c>
      <c r="AD119" s="12">
        <f t="shared" si="22"/>
        <v>6.7144938170764039</v>
      </c>
      <c r="AE119" s="12">
        <f t="shared" si="23"/>
        <v>6.2030470350307478</v>
      </c>
    </row>
    <row r="120" spans="1:31" x14ac:dyDescent="0.25">
      <c r="A120" s="117" t="s">
        <v>525</v>
      </c>
      <c r="B120" s="115" t="s">
        <v>536</v>
      </c>
      <c r="C120" s="115" t="s">
        <v>579</v>
      </c>
      <c r="D120" s="93" t="s">
        <v>537</v>
      </c>
      <c r="E120" s="12">
        <f>'Hazard &amp; Exposure'!O127</f>
        <v>9.0895034548482911</v>
      </c>
      <c r="F120" s="12">
        <f>'Hazard &amp; Exposure'!P127</f>
        <v>3.4518607949568736</v>
      </c>
      <c r="G120" s="159">
        <f>'Hazard &amp; Exposure'!Q127</f>
        <v>7.1761398176490063</v>
      </c>
      <c r="H120" s="12">
        <f>'Hazard &amp; Exposure'!W127</f>
        <v>6</v>
      </c>
      <c r="I120" s="12">
        <f>'Hazard &amp; Exposure'!T127</f>
        <v>10</v>
      </c>
      <c r="J120" s="12">
        <f>'Hazard &amp; Exposure'!AA127</f>
        <v>8</v>
      </c>
      <c r="K120" s="12">
        <f t="shared" si="18"/>
        <v>7.612235161181875</v>
      </c>
      <c r="L120" s="12">
        <f>Vulnerability!J127</f>
        <v>5.7682154810991992</v>
      </c>
      <c r="M120" s="12">
        <f>Vulnerability!O127</f>
        <v>5.472427492671776</v>
      </c>
      <c r="N120" s="12">
        <f t="shared" si="19"/>
        <v>5.6696194849567254</v>
      </c>
      <c r="O120" s="12">
        <f>Vulnerability!AA127</f>
        <v>2.5346417377713246</v>
      </c>
      <c r="P120" s="12">
        <f>Vulnerability!AG127</f>
        <v>8.0109075940953876</v>
      </c>
      <c r="Q120" s="12">
        <f t="shared" si="20"/>
        <v>5.9546781856474587</v>
      </c>
      <c r="R120" s="12">
        <f t="shared" si="21"/>
        <v>5.8140660306216851</v>
      </c>
      <c r="S120" s="12">
        <f>'Lack of Coping Capacity'!F127</f>
        <v>9.0741303159868121</v>
      </c>
      <c r="T120" s="12">
        <f>'Lack of Coping Capacity'!I127</f>
        <v>8.4814011573791497</v>
      </c>
      <c r="U120" s="12">
        <f>'Lack of Coping Capacity'!J127</f>
        <v>8.77776573668298</v>
      </c>
      <c r="V120" s="12">
        <f>'Lack of Coping Capacity'!M127</f>
        <v>4.0873843546619799</v>
      </c>
      <c r="W120" s="12">
        <f>'Lack of Coping Capacity'!S127</f>
        <v>6.9611111111111104</v>
      </c>
      <c r="X120" s="12">
        <f>'Lack of Coping Capacity'!U127</f>
        <v>7.313265781810947</v>
      </c>
      <c r="Y120" s="12">
        <f>'Lack of Coping Capacity'!V127</f>
        <v>6.1205870825280124</v>
      </c>
      <c r="Z120" s="12">
        <f>'Lack of Coping Capacity'!AB127</f>
        <v>8.3770804987890024</v>
      </c>
      <c r="AA120" s="12">
        <f>'Lack of Coping Capacity'!AI127</f>
        <v>5.1365251441479209</v>
      </c>
      <c r="AB120" s="12">
        <f>'Lack of Coping Capacity'!AE127</f>
        <v>9.69</v>
      </c>
      <c r="AC120" s="12">
        <f>'Lack of Coping Capacity'!AJ127</f>
        <v>7.7345352143123085</v>
      </c>
      <c r="AD120" s="12">
        <f t="shared" si="22"/>
        <v>7.7106806509985324</v>
      </c>
      <c r="AE120" s="12">
        <f t="shared" si="23"/>
        <v>6.988140437225189</v>
      </c>
    </row>
    <row r="121" spans="1:31" x14ac:dyDescent="0.25">
      <c r="A121" s="117" t="s">
        <v>408</v>
      </c>
      <c r="B121" s="115" t="s">
        <v>415</v>
      </c>
      <c r="C121" s="115" t="s">
        <v>576</v>
      </c>
      <c r="D121" s="93" t="s">
        <v>640</v>
      </c>
      <c r="E121" s="12">
        <f>'Hazard &amp; Exposure'!O48</f>
        <v>8.7630341100058011</v>
      </c>
      <c r="F121" s="12">
        <f>'Hazard &amp; Exposure'!P48</f>
        <v>6.6625327380424331</v>
      </c>
      <c r="G121" s="159">
        <f>'Hazard &amp; Exposure'!Q48</f>
        <v>7.8791450584711642</v>
      </c>
      <c r="H121" s="12">
        <f>'Hazard &amp; Exposure'!W48</f>
        <v>7</v>
      </c>
      <c r="I121" s="12">
        <f>'Hazard &amp; Exposure'!T48</f>
        <v>8.3825408014047689</v>
      </c>
      <c r="J121" s="12">
        <f>'Hazard &amp; Exposure'!AA48</f>
        <v>7.6912704007023844</v>
      </c>
      <c r="K121" s="12">
        <f t="shared" si="18"/>
        <v>7.7865345844724052</v>
      </c>
      <c r="L121" s="12">
        <f>Vulnerability!J48</f>
        <v>8.0686472288704643</v>
      </c>
      <c r="M121" s="12">
        <f>Vulnerability!O48</f>
        <v>5.4662973333333325</v>
      </c>
      <c r="N121" s="12">
        <f t="shared" si="19"/>
        <v>7.2011972636914203</v>
      </c>
      <c r="O121" s="12">
        <f>Vulnerability!AA48</f>
        <v>8.1871189976480601</v>
      </c>
      <c r="P121" s="12">
        <f>Vulnerability!AG48</f>
        <v>7.999427711800486</v>
      </c>
      <c r="Q121" s="12">
        <f t="shared" si="20"/>
        <v>8.0947328657350166</v>
      </c>
      <c r="R121" s="12">
        <f t="shared" si="21"/>
        <v>7.6769039142967577</v>
      </c>
      <c r="S121" s="12">
        <f>'Lack of Coping Capacity'!F48</f>
        <v>8.0745683600492235</v>
      </c>
      <c r="T121" s="12">
        <f>'Lack of Coping Capacity'!I48</f>
        <v>6.7364291846752167</v>
      </c>
      <c r="U121" s="12">
        <f>'Lack of Coping Capacity'!J48</f>
        <v>7.4054987723622201</v>
      </c>
      <c r="V121" s="12">
        <f>'Lack of Coping Capacity'!M48</f>
        <v>2.5117977238917955</v>
      </c>
      <c r="W121" s="12">
        <f>'Lack of Coping Capacity'!S48</f>
        <v>7.4126894605420075</v>
      </c>
      <c r="X121" s="12">
        <f>'Lack of Coping Capacity'!U48</f>
        <v>9.8647237723687979</v>
      </c>
      <c r="Y121" s="12">
        <f>'Lack of Coping Capacity'!V48</f>
        <v>6.5964036522675329</v>
      </c>
      <c r="Z121" s="12">
        <f>'Lack of Coping Capacity'!AB48</f>
        <v>7.7216164848659146</v>
      </c>
      <c r="AA121" s="12">
        <f>'Lack of Coping Capacity'!AI48</f>
        <v>1.726022765340498</v>
      </c>
      <c r="AB121" s="12">
        <f>'Lack of Coping Capacity'!AE48</f>
        <v>8.6456</v>
      </c>
      <c r="AC121" s="12">
        <f>'Lack of Coping Capacity'!AJ48</f>
        <v>6.0310797500688045</v>
      </c>
      <c r="AD121" s="12">
        <f t="shared" si="22"/>
        <v>6.7144938170764039</v>
      </c>
      <c r="AE121" s="12">
        <f t="shared" si="23"/>
        <v>7.3764578762167385</v>
      </c>
    </row>
    <row r="122" spans="1:31" x14ac:dyDescent="0.25">
      <c r="A122" s="117" t="s">
        <v>385</v>
      </c>
      <c r="B122" s="115" t="s">
        <v>404</v>
      </c>
      <c r="C122" s="115" t="s">
        <v>575</v>
      </c>
      <c r="D122" s="93" t="s">
        <v>405</v>
      </c>
      <c r="E122" s="12">
        <f>'Hazard &amp; Exposure'!O40</f>
        <v>4.5002429415969551</v>
      </c>
      <c r="F122" s="12">
        <f>'Hazard &amp; Exposure'!P40</f>
        <v>7.1970803308535043</v>
      </c>
      <c r="G122" s="159">
        <f>'Hazard &amp; Exposure'!Q40</f>
        <v>6.0243497151241057</v>
      </c>
      <c r="H122" s="12">
        <f>'Hazard &amp; Exposure'!W40</f>
        <v>9</v>
      </c>
      <c r="I122" s="12">
        <f>'Hazard &amp; Exposure'!T40</f>
        <v>8.067210585702945</v>
      </c>
      <c r="J122" s="12">
        <f>'Hazard &amp; Exposure'!AA40</f>
        <v>9</v>
      </c>
      <c r="K122" s="12">
        <f t="shared" si="18"/>
        <v>7.834112712783881</v>
      </c>
      <c r="L122" s="12">
        <f>Vulnerability!J40</f>
        <v>9.2283886253020562</v>
      </c>
      <c r="M122" s="12">
        <f>Vulnerability!O40</f>
        <v>2.8474622222222217</v>
      </c>
      <c r="N122" s="12">
        <f t="shared" si="19"/>
        <v>7.1014131576087784</v>
      </c>
      <c r="O122" s="12">
        <f>Vulnerability!AA40</f>
        <v>8.6070739712520865</v>
      </c>
      <c r="P122" s="12">
        <f>Vulnerability!AG40</f>
        <v>0.80186657074228329</v>
      </c>
      <c r="Q122" s="12">
        <f t="shared" si="20"/>
        <v>6.0302911760049263</v>
      </c>
      <c r="R122" s="12">
        <f t="shared" si="21"/>
        <v>6.5975146187439515</v>
      </c>
      <c r="S122" s="12">
        <f>'Lack of Coping Capacity'!F40</f>
        <v>8.0127683565050205</v>
      </c>
      <c r="T122" s="12">
        <f>'Lack of Coping Capacity'!I40</f>
        <v>6.3694647312164303</v>
      </c>
      <c r="U122" s="12">
        <f>'Lack of Coping Capacity'!J40</f>
        <v>7.1911165438607254</v>
      </c>
      <c r="V122" s="12">
        <f>'Lack of Coping Capacity'!M40</f>
        <v>8.4472657303624654</v>
      </c>
      <c r="W122" s="12">
        <f>'Lack of Coping Capacity'!S40</f>
        <v>8.2329977628635334</v>
      </c>
      <c r="X122" s="12">
        <f>'Lack of Coping Capacity'!U40</f>
        <v>8.4059639223302298</v>
      </c>
      <c r="Y122" s="12">
        <f>'Lack of Coping Capacity'!V40</f>
        <v>8.3620758051854107</v>
      </c>
      <c r="Z122" s="12">
        <f>'Lack of Coping Capacity'!AB40</f>
        <v>5.0693877117172024</v>
      </c>
      <c r="AA122" s="12">
        <f>'Lack of Coping Capacity'!AI40</f>
        <v>6.9503220205383363</v>
      </c>
      <c r="AB122" s="12">
        <f>'Lack of Coping Capacity'!AE40</f>
        <v>9.838000000000001</v>
      </c>
      <c r="AC122" s="12">
        <f>'Lack of Coping Capacity'!AJ40</f>
        <v>7.2859032440851799</v>
      </c>
      <c r="AD122" s="12">
        <f t="shared" si="22"/>
        <v>7.6567032949783078</v>
      </c>
      <c r="AE122" s="12">
        <f t="shared" si="23"/>
        <v>7.3418244906536163</v>
      </c>
    </row>
    <row r="123" spans="1:31" x14ac:dyDescent="0.25">
      <c r="A123" s="117" t="s">
        <v>385</v>
      </c>
      <c r="B123" s="115" t="s">
        <v>400</v>
      </c>
      <c r="C123" s="115" t="s">
        <v>575</v>
      </c>
      <c r="D123" s="93" t="s">
        <v>401</v>
      </c>
      <c r="E123" s="12">
        <f>'Hazard &amp; Exposure'!O38</f>
        <v>5.1367600243078293</v>
      </c>
      <c r="F123" s="12">
        <f>'Hazard &amp; Exposure'!P38</f>
        <v>8.1296413057059222</v>
      </c>
      <c r="G123" s="159">
        <f>'Hazard &amp; Exposure'!Q38</f>
        <v>6.8906434388982714</v>
      </c>
      <c r="H123" s="12">
        <f>'Hazard &amp; Exposure'!W38</f>
        <v>8</v>
      </c>
      <c r="I123" s="12">
        <f>'Hazard &amp; Exposure'!T38</f>
        <v>8.067210585702945</v>
      </c>
      <c r="J123" s="12">
        <f>'Hazard &amp; Exposure'!AA38</f>
        <v>8</v>
      </c>
      <c r="K123" s="12">
        <f t="shared" si="18"/>
        <v>7.4875294756147328</v>
      </c>
      <c r="L123" s="12">
        <f>Vulnerability!J38</f>
        <v>9.1120857937655568</v>
      </c>
      <c r="M123" s="12">
        <f>Vulnerability!O38</f>
        <v>2.8277048888888885</v>
      </c>
      <c r="N123" s="12">
        <f t="shared" si="19"/>
        <v>7.0172921588066677</v>
      </c>
      <c r="O123" s="12">
        <f>Vulnerability!AA38</f>
        <v>3.8054086350852794</v>
      </c>
      <c r="P123" s="12">
        <f>Vulnerability!AG38</f>
        <v>0.80186657074228329</v>
      </c>
      <c r="Q123" s="12">
        <f t="shared" si="20"/>
        <v>2.432616232128447</v>
      </c>
      <c r="R123" s="12">
        <f t="shared" si="21"/>
        <v>5.1505585517374177</v>
      </c>
      <c r="S123" s="12">
        <f>'Lack of Coping Capacity'!F38</f>
        <v>8.0127683565050205</v>
      </c>
      <c r="T123" s="12">
        <f>'Lack of Coping Capacity'!I38</f>
        <v>6.3694647312164303</v>
      </c>
      <c r="U123" s="12">
        <f>'Lack of Coping Capacity'!J38</f>
        <v>7.1911165438607254</v>
      </c>
      <c r="V123" s="12">
        <f>'Lack of Coping Capacity'!M38</f>
        <v>8.4472657303624654</v>
      </c>
      <c r="W123" s="12">
        <f>'Lack of Coping Capacity'!S38</f>
        <v>8.2329977628635334</v>
      </c>
      <c r="X123" s="12">
        <f>'Lack of Coping Capacity'!U38</f>
        <v>8.4059639223302298</v>
      </c>
      <c r="Y123" s="12">
        <f>'Lack of Coping Capacity'!V38</f>
        <v>8.3620758051854107</v>
      </c>
      <c r="Z123" s="12">
        <f>'Lack of Coping Capacity'!AB38</f>
        <v>5.0693877117172024</v>
      </c>
      <c r="AA123" s="12">
        <f>'Lack of Coping Capacity'!AI38</f>
        <v>6.9503220205383363</v>
      </c>
      <c r="AB123" s="12">
        <f>'Lack of Coping Capacity'!AE38</f>
        <v>9.838000000000001</v>
      </c>
      <c r="AC123" s="12">
        <f>'Lack of Coping Capacity'!AJ38</f>
        <v>7.2859032440851799</v>
      </c>
      <c r="AD123" s="12">
        <f t="shared" si="22"/>
        <v>7.6567032949783078</v>
      </c>
      <c r="AE123" s="12">
        <f t="shared" si="23"/>
        <v>6.6590390840080476</v>
      </c>
    </row>
    <row r="124" spans="1:31" x14ac:dyDescent="0.25">
      <c r="A124" s="117" t="s">
        <v>408</v>
      </c>
      <c r="B124" s="115" t="s">
        <v>427</v>
      </c>
      <c r="C124" s="115" t="s">
        <v>576</v>
      </c>
      <c r="D124" s="93" t="s">
        <v>652</v>
      </c>
      <c r="E124" s="12">
        <f>'Hazard &amp; Exposure'!O60</f>
        <v>8.7687230569011003</v>
      </c>
      <c r="F124" s="12">
        <f>'Hazard &amp; Exposure'!P60</f>
        <v>5.9797936840276495</v>
      </c>
      <c r="G124" s="159">
        <f>'Hazard &amp; Exposure'!Q60</f>
        <v>7.6441907711609778</v>
      </c>
      <c r="H124" s="12">
        <f>'Hazard &amp; Exposure'!W60</f>
        <v>8</v>
      </c>
      <c r="I124" s="12">
        <f>'Hazard &amp; Exposure'!T60</f>
        <v>8.3825408014047689</v>
      </c>
      <c r="J124" s="12">
        <f>'Hazard &amp; Exposure'!AA60</f>
        <v>8</v>
      </c>
      <c r="K124" s="12">
        <f t="shared" si="18"/>
        <v>7.8269103878062811</v>
      </c>
      <c r="L124" s="12">
        <f>Vulnerability!J60</f>
        <v>6.4275705502143596</v>
      </c>
      <c r="M124" s="12">
        <f>Vulnerability!O60</f>
        <v>6.6310297777777762</v>
      </c>
      <c r="N124" s="12">
        <f t="shared" si="19"/>
        <v>6.4953902927354976</v>
      </c>
      <c r="O124" s="12">
        <f>Vulnerability!AA60</f>
        <v>3.5608964337867768</v>
      </c>
      <c r="P124" s="12">
        <f>Vulnerability!AG60</f>
        <v>4.6467511950681484</v>
      </c>
      <c r="Q124" s="12">
        <f t="shared" si="20"/>
        <v>4.1248885897756598</v>
      </c>
      <c r="R124" s="12">
        <f t="shared" si="21"/>
        <v>5.4325150932971464</v>
      </c>
      <c r="S124" s="12">
        <f>'Lack of Coping Capacity'!F60</f>
        <v>8.0745683600492235</v>
      </c>
      <c r="T124" s="12">
        <f>'Lack of Coping Capacity'!I60</f>
        <v>6.7364291846752167</v>
      </c>
      <c r="U124" s="12">
        <f>'Lack of Coping Capacity'!J60</f>
        <v>7.4054987723622201</v>
      </c>
      <c r="V124" s="12">
        <f>'Lack of Coping Capacity'!M60</f>
        <v>2.5117977238917955</v>
      </c>
      <c r="W124" s="12">
        <f>'Lack of Coping Capacity'!S60</f>
        <v>7.4126894605420075</v>
      </c>
      <c r="X124" s="12">
        <f>'Lack of Coping Capacity'!U60</f>
        <v>9.8647237723687979</v>
      </c>
      <c r="Y124" s="12">
        <f>'Lack of Coping Capacity'!V60</f>
        <v>6.5964036522675329</v>
      </c>
      <c r="Z124" s="12">
        <f>'Lack of Coping Capacity'!AB60</f>
        <v>7.7216164848659146</v>
      </c>
      <c r="AA124" s="12">
        <f>'Lack of Coping Capacity'!AI60</f>
        <v>1.726022765340498</v>
      </c>
      <c r="AB124" s="12">
        <f>'Lack of Coping Capacity'!AE60</f>
        <v>8.6456</v>
      </c>
      <c r="AC124" s="12">
        <f>'Lack of Coping Capacity'!AJ60</f>
        <v>6.0310797500688045</v>
      </c>
      <c r="AD124" s="12">
        <f t="shared" si="22"/>
        <v>6.7144938170764039</v>
      </c>
      <c r="AE124" s="12">
        <f t="shared" si="23"/>
        <v>6.5846828251900469</v>
      </c>
    </row>
    <row r="125" spans="1:31" x14ac:dyDescent="0.25">
      <c r="A125" s="117" t="s">
        <v>504</v>
      </c>
      <c r="B125" s="115" t="s">
        <v>513</v>
      </c>
      <c r="C125" s="115" t="s">
        <v>580</v>
      </c>
      <c r="D125" s="93" t="s">
        <v>514</v>
      </c>
      <c r="E125" s="12">
        <f>'Hazard &amp; Exposure'!O116</f>
        <v>8.9561906183898294</v>
      </c>
      <c r="F125" s="12">
        <f>'Hazard &amp; Exposure'!P116</f>
        <v>4.5649869453933283</v>
      </c>
      <c r="G125" s="159">
        <f>'Hazard &amp; Exposure'!Q116</f>
        <v>7.3552653857646542</v>
      </c>
      <c r="H125" s="12">
        <f>'Hazard &amp; Exposure'!W116</f>
        <v>8</v>
      </c>
      <c r="I125" s="12">
        <f>'Hazard &amp; Exposure'!T116</f>
        <v>9.6347316971429038</v>
      </c>
      <c r="J125" s="12">
        <f>'Hazard &amp; Exposure'!AA116</f>
        <v>8</v>
      </c>
      <c r="K125" s="12">
        <f t="shared" si="18"/>
        <v>7.6927996320699554</v>
      </c>
      <c r="L125" s="12">
        <f>Vulnerability!J116</f>
        <v>8.2724116509918666</v>
      </c>
      <c r="M125" s="12">
        <f>Vulnerability!O116</f>
        <v>5.1324999999999994</v>
      </c>
      <c r="N125" s="12">
        <f t="shared" si="19"/>
        <v>7.2257744339945775</v>
      </c>
      <c r="O125" s="12">
        <f>Vulnerability!AA116</f>
        <v>0</v>
      </c>
      <c r="P125" s="12">
        <f>Vulnerability!AG116</f>
        <v>7.6528443162095972</v>
      </c>
      <c r="Q125" s="12">
        <f t="shared" si="20"/>
        <v>4.9123058544494027</v>
      </c>
      <c r="R125" s="12">
        <f t="shared" si="21"/>
        <v>6.2035205191800245</v>
      </c>
      <c r="S125" s="12">
        <f>'Lack of Coping Capacity'!F116</f>
        <v>8.9376933232166333</v>
      </c>
      <c r="T125" s="12">
        <f>'Lack of Coping Capacity'!I116</f>
        <v>8.2354505062103271</v>
      </c>
      <c r="U125" s="12">
        <f>'Lack of Coping Capacity'!J116</f>
        <v>8.5865719147134811</v>
      </c>
      <c r="V125" s="12">
        <f>'Lack of Coping Capacity'!M116</f>
        <v>7.4741640376789604</v>
      </c>
      <c r="W125" s="12">
        <f>'Lack of Coping Capacity'!S116</f>
        <v>9.9237502699999993</v>
      </c>
      <c r="X125" s="12">
        <f>'Lack of Coping Capacity'!U116</f>
        <v>9.6</v>
      </c>
      <c r="Y125" s="12">
        <f>'Lack of Coping Capacity'!V116</f>
        <v>8.9993047692263204</v>
      </c>
      <c r="Z125" s="12">
        <f>'Lack of Coping Capacity'!AB116</f>
        <v>5.7536227849114523</v>
      </c>
      <c r="AA125" s="12">
        <f>'Lack of Coping Capacity'!AI116</f>
        <v>10</v>
      </c>
      <c r="AB125" s="12" t="str">
        <f>'Lack of Coping Capacity'!AE116</f>
        <v>x</v>
      </c>
      <c r="AC125" s="12">
        <f>'Lack of Coping Capacity'!AJ116</f>
        <v>7.8768113924557266</v>
      </c>
      <c r="AD125" s="12">
        <f t="shared" si="22"/>
        <v>8.527628812278703</v>
      </c>
      <c r="AE125" s="12">
        <f t="shared" si="23"/>
        <v>7.4105477625334704</v>
      </c>
    </row>
    <row r="126" spans="1:31" x14ac:dyDescent="0.25">
      <c r="A126" s="117" t="s">
        <v>408</v>
      </c>
      <c r="B126" s="115" t="s">
        <v>422</v>
      </c>
      <c r="C126" s="115" t="s">
        <v>576</v>
      </c>
      <c r="D126" s="93" t="s">
        <v>647</v>
      </c>
      <c r="E126" s="12">
        <f>'Hazard &amp; Exposure'!O55</f>
        <v>8.8409766361791799</v>
      </c>
      <c r="F126" s="12">
        <f>'Hazard &amp; Exposure'!P55</f>
        <v>6.7967252775126239</v>
      </c>
      <c r="G126" s="159">
        <f>'Hazard &amp; Exposure'!Q55</f>
        <v>7.9815366961131451</v>
      </c>
      <c r="H126" s="12">
        <f>'Hazard &amp; Exposure'!W55</f>
        <v>8</v>
      </c>
      <c r="I126" s="12">
        <f>'Hazard &amp; Exposure'!T55</f>
        <v>8.3825408014047689</v>
      </c>
      <c r="J126" s="12">
        <f>'Hazard &amp; Exposure'!AA55</f>
        <v>8</v>
      </c>
      <c r="K126" s="12">
        <f t="shared" si="18"/>
        <v>7.9907820041819679</v>
      </c>
      <c r="L126" s="12">
        <f>Vulnerability!J55</f>
        <v>5.1068990624126309</v>
      </c>
      <c r="M126" s="12">
        <f>Vulnerability!O55</f>
        <v>6.5092519999999991</v>
      </c>
      <c r="N126" s="12">
        <f t="shared" si="19"/>
        <v>5.5743500416084197</v>
      </c>
      <c r="O126" s="12">
        <f>Vulnerability!AA55</f>
        <v>3.5608964337867768</v>
      </c>
      <c r="P126" s="12">
        <f>Vulnerability!AG55</f>
        <v>2.7860379913242275</v>
      </c>
      <c r="Q126" s="12">
        <f t="shared" si="20"/>
        <v>3.1829278855030396</v>
      </c>
      <c r="R126" s="12">
        <f t="shared" si="21"/>
        <v>4.4856710324875753</v>
      </c>
      <c r="S126" s="12">
        <f>'Lack of Coping Capacity'!F55</f>
        <v>8.0745683600492235</v>
      </c>
      <c r="T126" s="12">
        <f>'Lack of Coping Capacity'!I55</f>
        <v>6.7364291846752167</v>
      </c>
      <c r="U126" s="12">
        <f>'Lack of Coping Capacity'!J55</f>
        <v>7.4054987723622201</v>
      </c>
      <c r="V126" s="12">
        <f>'Lack of Coping Capacity'!M55</f>
        <v>2.5117977238917955</v>
      </c>
      <c r="W126" s="12">
        <f>'Lack of Coping Capacity'!S55</f>
        <v>7.4126894605420075</v>
      </c>
      <c r="X126" s="12">
        <f>'Lack of Coping Capacity'!U55</f>
        <v>9.8647237723687979</v>
      </c>
      <c r="Y126" s="12">
        <f>'Lack of Coping Capacity'!V55</f>
        <v>6.5964036522675329</v>
      </c>
      <c r="Z126" s="12">
        <f>'Lack of Coping Capacity'!AB55</f>
        <v>7.7216164848659146</v>
      </c>
      <c r="AA126" s="12">
        <f>'Lack of Coping Capacity'!AI55</f>
        <v>1.726022765340498</v>
      </c>
      <c r="AB126" s="12">
        <f>'Lack of Coping Capacity'!AE55</f>
        <v>8.6456</v>
      </c>
      <c r="AC126" s="12">
        <f>'Lack of Coping Capacity'!AJ55</f>
        <v>6.0310797500688045</v>
      </c>
      <c r="AD126" s="12">
        <f t="shared" si="22"/>
        <v>6.7144938170764039</v>
      </c>
      <c r="AE126" s="12">
        <f t="shared" si="23"/>
        <v>6.2202808500801163</v>
      </c>
    </row>
    <row r="127" spans="1:31" x14ac:dyDescent="0.25">
      <c r="A127" s="117" t="s">
        <v>467</v>
      </c>
      <c r="B127" s="115" t="s">
        <v>490</v>
      </c>
      <c r="C127" s="115" t="s">
        <v>578</v>
      </c>
      <c r="D127" s="93" t="s">
        <v>491</v>
      </c>
      <c r="E127" s="12">
        <f>'Hazard &amp; Exposure'!O105</f>
        <v>8.8726117405906866</v>
      </c>
      <c r="F127" s="12">
        <f>'Hazard &amp; Exposure'!P105</f>
        <v>6.5599588186268134</v>
      </c>
      <c r="G127" s="159">
        <f>'Hazard &amp; Exposure'!Q105</f>
        <v>7.9192853730939659</v>
      </c>
      <c r="H127" s="12">
        <f>'Hazard &amp; Exposure'!W105</f>
        <v>8</v>
      </c>
      <c r="I127" s="12">
        <f>'Hazard &amp; Exposure'!T105</f>
        <v>9.4963814816019507</v>
      </c>
      <c r="J127" s="12">
        <f>'Hazard &amp; Exposure'!AA105</f>
        <v>8</v>
      </c>
      <c r="K127" s="12">
        <f t="shared" si="18"/>
        <v>7.9599011025151176</v>
      </c>
      <c r="L127" s="12">
        <f>Vulnerability!J105</f>
        <v>9.573516388544661</v>
      </c>
      <c r="M127" s="12">
        <f>Vulnerability!O105</f>
        <v>10</v>
      </c>
      <c r="N127" s="12">
        <f t="shared" si="19"/>
        <v>9.7156775923631074</v>
      </c>
      <c r="O127" s="12">
        <f>Vulnerability!AA105</f>
        <v>3.6896711198782617</v>
      </c>
      <c r="P127" s="12">
        <f>Vulnerability!AG105</f>
        <v>4.881435569239617</v>
      </c>
      <c r="Q127" s="12">
        <f t="shared" si="20"/>
        <v>4.3116138356612357</v>
      </c>
      <c r="R127" s="12">
        <f t="shared" si="21"/>
        <v>8.0308113840068671</v>
      </c>
      <c r="S127" s="12">
        <f>'Lack of Coping Capacity'!F105</f>
        <v>5.7696490037761592</v>
      </c>
      <c r="T127" s="12">
        <f>'Lack of Coping Capacity'!I105</f>
        <v>9.307685232162477</v>
      </c>
      <c r="U127" s="12">
        <f>'Lack of Coping Capacity'!J105</f>
        <v>7.5386671179693181</v>
      </c>
      <c r="V127" s="12">
        <f>'Lack of Coping Capacity'!M105</f>
        <v>7.3808660795689001</v>
      </c>
      <c r="W127" s="12">
        <f>'Lack of Coping Capacity'!S105</f>
        <v>9.7328859083892603</v>
      </c>
      <c r="X127" s="12">
        <f>'Lack of Coping Capacity'!U105</f>
        <v>8.5136604607862196</v>
      </c>
      <c r="Y127" s="12">
        <f>'Lack of Coping Capacity'!V105</f>
        <v>8.5424708162481267</v>
      </c>
      <c r="Z127" s="12">
        <f>'Lack of Coping Capacity'!AB105</f>
        <v>8.6335737116273936</v>
      </c>
      <c r="AA127" s="12">
        <f>'Lack of Coping Capacity'!AI105</f>
        <v>4.5195373333333331</v>
      </c>
      <c r="AB127" s="12" t="str">
        <f>'Lack of Coping Capacity'!AE105</f>
        <v>x</v>
      </c>
      <c r="AC127" s="12">
        <f>'Lack of Coping Capacity'!AJ105</f>
        <v>6.5765555224803638</v>
      </c>
      <c r="AD127" s="12">
        <f t="shared" si="22"/>
        <v>7.6458618194361119</v>
      </c>
      <c r="AE127" s="12">
        <f t="shared" si="23"/>
        <v>7.877066542789164</v>
      </c>
    </row>
    <row r="128" spans="1:31" x14ac:dyDescent="0.25">
      <c r="A128" s="117" t="s">
        <v>408</v>
      </c>
      <c r="B128" s="115" t="s">
        <v>436</v>
      </c>
      <c r="C128" s="115" t="s">
        <v>576</v>
      </c>
      <c r="D128" s="93" t="s">
        <v>661</v>
      </c>
      <c r="E128" s="12">
        <f>'Hazard &amp; Exposure'!O69</f>
        <v>9.0143627180610437</v>
      </c>
      <c r="F128" s="12">
        <f>'Hazard &amp; Exposure'!P69</f>
        <v>6.8013179957906882</v>
      </c>
      <c r="G128" s="159">
        <f>'Hazard &amp; Exposure'!Q69</f>
        <v>8.1050253191007862</v>
      </c>
      <c r="H128" s="12">
        <f>'Hazard &amp; Exposure'!W69</f>
        <v>8</v>
      </c>
      <c r="I128" s="12">
        <f>'Hazard &amp; Exposure'!T69</f>
        <v>8.3825408014047689</v>
      </c>
      <c r="J128" s="12">
        <f>'Hazard &amp; Exposure'!AA69</f>
        <v>8</v>
      </c>
      <c r="K128" s="12">
        <f t="shared" si="18"/>
        <v>8.0529634841191502</v>
      </c>
      <c r="L128" s="12">
        <f>Vulnerability!J69</f>
        <v>5.2900535423442152</v>
      </c>
      <c r="M128" s="12">
        <f>Vulnerability!O69</f>
        <v>4.7514742222222219</v>
      </c>
      <c r="N128" s="12">
        <f t="shared" si="19"/>
        <v>5.1105271023035508</v>
      </c>
      <c r="O128" s="12">
        <f>Vulnerability!AA69</f>
        <v>3.5608964337867768</v>
      </c>
      <c r="P128" s="12">
        <f>Vulnerability!AG69</f>
        <v>1.2711042119543197</v>
      </c>
      <c r="Q128" s="12">
        <f t="shared" si="20"/>
        <v>2.4917048371856083</v>
      </c>
      <c r="R128" s="12">
        <f t="shared" si="21"/>
        <v>3.9193469706005972</v>
      </c>
      <c r="S128" s="12">
        <f>'Lack of Coping Capacity'!F69</f>
        <v>8.0745683600492235</v>
      </c>
      <c r="T128" s="12">
        <f>'Lack of Coping Capacity'!I69</f>
        <v>6.7364291846752167</v>
      </c>
      <c r="U128" s="12">
        <f>'Lack of Coping Capacity'!J69</f>
        <v>7.4054987723622201</v>
      </c>
      <c r="V128" s="12">
        <f>'Lack of Coping Capacity'!M69</f>
        <v>2.5117977238917955</v>
      </c>
      <c r="W128" s="12">
        <f>'Lack of Coping Capacity'!S69</f>
        <v>7.4126894605420075</v>
      </c>
      <c r="X128" s="12">
        <f>'Lack of Coping Capacity'!U69</f>
        <v>9.8647237723687979</v>
      </c>
      <c r="Y128" s="12">
        <f>'Lack of Coping Capacity'!V69</f>
        <v>6.5964036522675329</v>
      </c>
      <c r="Z128" s="12">
        <f>'Lack of Coping Capacity'!AB69</f>
        <v>7.7216164848659146</v>
      </c>
      <c r="AA128" s="12">
        <f>'Lack of Coping Capacity'!AI69</f>
        <v>1.726022765340498</v>
      </c>
      <c r="AB128" s="12">
        <f>'Lack of Coping Capacity'!AE69</f>
        <v>8.6456</v>
      </c>
      <c r="AC128" s="12">
        <f>'Lack of Coping Capacity'!AJ69</f>
        <v>6.0310797500688045</v>
      </c>
      <c r="AD128" s="12">
        <f t="shared" si="22"/>
        <v>6.7144938170764039</v>
      </c>
      <c r="AE128" s="12">
        <f t="shared" si="23"/>
        <v>5.9620311407809101</v>
      </c>
    </row>
    <row r="129" spans="1:31" x14ac:dyDescent="0.25">
      <c r="A129" s="117" t="s">
        <v>467</v>
      </c>
      <c r="B129" s="115" t="s">
        <v>470</v>
      </c>
      <c r="C129" s="115" t="s">
        <v>578</v>
      </c>
      <c r="D129" s="93" t="s">
        <v>471</v>
      </c>
      <c r="E129" s="12">
        <f>'Hazard &amp; Exposure'!O95</f>
        <v>7.6230520854273305</v>
      </c>
      <c r="F129" s="12">
        <f>'Hazard &amp; Exposure'!P95</f>
        <v>6.3953986175501516</v>
      </c>
      <c r="G129" s="159">
        <f>'Hazard &amp; Exposure'!Q95</f>
        <v>7.0554134490935052</v>
      </c>
      <c r="H129" s="12">
        <f>'Hazard &amp; Exposure'!W95</f>
        <v>9</v>
      </c>
      <c r="I129" s="12">
        <f>'Hazard &amp; Exposure'!T95</f>
        <v>9.4963814816019507</v>
      </c>
      <c r="J129" s="12">
        <f>'Hazard &amp; Exposure'!AA95</f>
        <v>9</v>
      </c>
      <c r="K129" s="12">
        <f t="shared" si="18"/>
        <v>8.1850167179664322</v>
      </c>
      <c r="L129" s="12">
        <f>Vulnerability!J95</f>
        <v>9.573516388544661</v>
      </c>
      <c r="M129" s="12">
        <f>Vulnerability!O95</f>
        <v>10</v>
      </c>
      <c r="N129" s="12">
        <f t="shared" si="19"/>
        <v>9.7156775923631074</v>
      </c>
      <c r="O129" s="12">
        <f>Vulnerability!AA95</f>
        <v>3.4895358613268712</v>
      </c>
      <c r="P129" s="12">
        <f>Vulnerability!AG95</f>
        <v>5.8966906270907522</v>
      </c>
      <c r="Q129" s="12">
        <f t="shared" si="20"/>
        <v>4.806977696994819</v>
      </c>
      <c r="R129" s="12">
        <f t="shared" si="21"/>
        <v>8.1451375655923446</v>
      </c>
      <c r="S129" s="12">
        <f>'Lack of Coping Capacity'!F95</f>
        <v>5.7696490037761592</v>
      </c>
      <c r="T129" s="12">
        <f>'Lack of Coping Capacity'!I95</f>
        <v>9.307685232162477</v>
      </c>
      <c r="U129" s="12">
        <f>'Lack of Coping Capacity'!J95</f>
        <v>7.5386671179693181</v>
      </c>
      <c r="V129" s="12">
        <f>'Lack of Coping Capacity'!M95</f>
        <v>7.3808660795689001</v>
      </c>
      <c r="W129" s="12">
        <f>'Lack of Coping Capacity'!S95</f>
        <v>9.7328859083892603</v>
      </c>
      <c r="X129" s="12">
        <f>'Lack of Coping Capacity'!U95</f>
        <v>8.5136604607862196</v>
      </c>
      <c r="Y129" s="12">
        <f>'Lack of Coping Capacity'!V95</f>
        <v>8.5424708162481267</v>
      </c>
      <c r="Z129" s="12">
        <f>'Lack of Coping Capacity'!AB95</f>
        <v>8.6335737116273936</v>
      </c>
      <c r="AA129" s="12">
        <f>'Lack of Coping Capacity'!AI95</f>
        <v>4.5195373333333331</v>
      </c>
      <c r="AB129" s="12" t="str">
        <f>'Lack of Coping Capacity'!AE95</f>
        <v>x</v>
      </c>
      <c r="AC129" s="12">
        <f>'Lack of Coping Capacity'!AJ95</f>
        <v>6.5765555224803638</v>
      </c>
      <c r="AD129" s="12">
        <f t="shared" si="22"/>
        <v>7.6458618194361119</v>
      </c>
      <c r="AE129" s="12">
        <f t="shared" si="23"/>
        <v>7.9881855926917886</v>
      </c>
    </row>
    <row r="130" spans="1:31" x14ac:dyDescent="0.25">
      <c r="A130" s="117" t="s">
        <v>467</v>
      </c>
      <c r="B130" s="115" t="s">
        <v>480</v>
      </c>
      <c r="C130" s="115" t="s">
        <v>578</v>
      </c>
      <c r="D130" s="93" t="s">
        <v>481</v>
      </c>
      <c r="E130" s="12">
        <f>'Hazard &amp; Exposure'!O100</f>
        <v>8.1007272325527069</v>
      </c>
      <c r="F130" s="12">
        <f>'Hazard &amp; Exposure'!P100</f>
        <v>6.4400946024082391</v>
      </c>
      <c r="G130" s="159">
        <f>'Hazard &amp; Exposure'!Q100</f>
        <v>7.3612374073339701</v>
      </c>
      <c r="H130" s="12">
        <f>'Hazard &amp; Exposure'!W100</f>
        <v>9</v>
      </c>
      <c r="I130" s="12">
        <f>'Hazard &amp; Exposure'!T100</f>
        <v>9.4963814816019507</v>
      </c>
      <c r="J130" s="12">
        <f>'Hazard &amp; Exposure'!AA100</f>
        <v>9</v>
      </c>
      <c r="K130" s="12">
        <f t="shared" si="18"/>
        <v>8.2975013227240844</v>
      </c>
      <c r="L130" s="12">
        <f>Vulnerability!J100</f>
        <v>9.573516388544661</v>
      </c>
      <c r="M130" s="12">
        <f>Vulnerability!O100</f>
        <v>10</v>
      </c>
      <c r="N130" s="12">
        <f t="shared" si="19"/>
        <v>9.7156775923631074</v>
      </c>
      <c r="O130" s="12">
        <f>Vulnerability!AA100</f>
        <v>4.070794898319412</v>
      </c>
      <c r="P130" s="12">
        <f>Vulnerability!AG100</f>
        <v>4.9985874812037547</v>
      </c>
      <c r="Q130" s="12">
        <f t="shared" si="20"/>
        <v>4.5510730614722874</v>
      </c>
      <c r="R130" s="12">
        <f t="shared" si="21"/>
        <v>8.085537284755473</v>
      </c>
      <c r="S130" s="12">
        <f>'Lack of Coping Capacity'!F100</f>
        <v>5.7696490037761592</v>
      </c>
      <c r="T130" s="12">
        <f>'Lack of Coping Capacity'!I100</f>
        <v>9.307685232162477</v>
      </c>
      <c r="U130" s="12">
        <f>'Lack of Coping Capacity'!J100</f>
        <v>7.5386671179693181</v>
      </c>
      <c r="V130" s="12">
        <f>'Lack of Coping Capacity'!M100</f>
        <v>7.3808660795689001</v>
      </c>
      <c r="W130" s="12">
        <f>'Lack of Coping Capacity'!S100</f>
        <v>9.7328859083892603</v>
      </c>
      <c r="X130" s="12">
        <f>'Lack of Coping Capacity'!U100</f>
        <v>8.5136604607862196</v>
      </c>
      <c r="Y130" s="12">
        <f>'Lack of Coping Capacity'!V100</f>
        <v>8.5424708162481267</v>
      </c>
      <c r="Z130" s="12">
        <f>'Lack of Coping Capacity'!AB100</f>
        <v>8.6335737116273936</v>
      </c>
      <c r="AA130" s="12">
        <f>'Lack of Coping Capacity'!AI100</f>
        <v>4.5195373333333331</v>
      </c>
      <c r="AB130" s="12" t="str">
        <f>'Lack of Coping Capacity'!AE100</f>
        <v>x</v>
      </c>
      <c r="AC130" s="12">
        <f>'Lack of Coping Capacity'!AJ100</f>
        <v>6.5765555224803638</v>
      </c>
      <c r="AD130" s="12">
        <f t="shared" si="22"/>
        <v>7.6458618194361119</v>
      </c>
      <c r="AE130" s="12">
        <f t="shared" si="23"/>
        <v>8.0049917091114295</v>
      </c>
    </row>
    <row r="131" spans="1:31" x14ac:dyDescent="0.25">
      <c r="A131" s="117" t="s">
        <v>467</v>
      </c>
      <c r="B131" s="115" t="s">
        <v>482</v>
      </c>
      <c r="C131" s="115" t="s">
        <v>578</v>
      </c>
      <c r="D131" s="93" t="s">
        <v>483</v>
      </c>
      <c r="E131" s="12">
        <f>'Hazard &amp; Exposure'!O101</f>
        <v>8.7454859539621346</v>
      </c>
      <c r="F131" s="12">
        <f>'Hazard &amp; Exposure'!P101</f>
        <v>6.4188200025495314</v>
      </c>
      <c r="G131" s="159">
        <f>'Hazard &amp; Exposure'!Q101</f>
        <v>7.7794145626421898</v>
      </c>
      <c r="H131" s="12">
        <f>'Hazard &amp; Exposure'!W101</f>
        <v>9</v>
      </c>
      <c r="I131" s="12">
        <f>'Hazard &amp; Exposure'!T101</f>
        <v>9.4963814816019507</v>
      </c>
      <c r="J131" s="12">
        <f>'Hazard &amp; Exposure'!AA101</f>
        <v>9</v>
      </c>
      <c r="K131" s="12">
        <f t="shared" si="18"/>
        <v>8.4590210669528663</v>
      </c>
      <c r="L131" s="12">
        <f>Vulnerability!J101</f>
        <v>9.573516388544661</v>
      </c>
      <c r="M131" s="12">
        <f>Vulnerability!O101</f>
        <v>10</v>
      </c>
      <c r="N131" s="12">
        <f t="shared" si="19"/>
        <v>9.7156775923631074</v>
      </c>
      <c r="O131" s="12">
        <f>Vulnerability!AA101</f>
        <v>3.9241087798388472</v>
      </c>
      <c r="P131" s="12">
        <f>Vulnerability!AG101</f>
        <v>5.8597190262682926</v>
      </c>
      <c r="Q131" s="12">
        <f t="shared" si="20"/>
        <v>4.9676782632490912</v>
      </c>
      <c r="R131" s="12">
        <f t="shared" si="21"/>
        <v>8.1831848627086394</v>
      </c>
      <c r="S131" s="12">
        <f>'Lack of Coping Capacity'!F101</f>
        <v>5.7696490037761592</v>
      </c>
      <c r="T131" s="12">
        <f>'Lack of Coping Capacity'!I101</f>
        <v>9.307685232162477</v>
      </c>
      <c r="U131" s="12">
        <f>'Lack of Coping Capacity'!J101</f>
        <v>7.5386671179693181</v>
      </c>
      <c r="V131" s="12">
        <f>'Lack of Coping Capacity'!M101</f>
        <v>7.3808660795689001</v>
      </c>
      <c r="W131" s="12">
        <f>'Lack of Coping Capacity'!S101</f>
        <v>9.7328859083892603</v>
      </c>
      <c r="X131" s="12">
        <f>'Lack of Coping Capacity'!U101</f>
        <v>8.5136604607862196</v>
      </c>
      <c r="Y131" s="12">
        <f>'Lack of Coping Capacity'!V101</f>
        <v>8.5424708162481267</v>
      </c>
      <c r="Z131" s="12">
        <f>'Lack of Coping Capacity'!AB101</f>
        <v>8.6335737116273936</v>
      </c>
      <c r="AA131" s="12">
        <f>'Lack of Coping Capacity'!AI101</f>
        <v>4.5195373333333331</v>
      </c>
      <c r="AB131" s="12" t="str">
        <f>'Lack of Coping Capacity'!AE101</f>
        <v>x</v>
      </c>
      <c r="AC131" s="12">
        <f>'Lack of Coping Capacity'!AJ101</f>
        <v>6.5765555224803638</v>
      </c>
      <c r="AD131" s="12">
        <f t="shared" si="22"/>
        <v>7.6458618194361119</v>
      </c>
      <c r="AE131" s="12">
        <f t="shared" si="23"/>
        <v>8.0889031938264502</v>
      </c>
    </row>
    <row r="132" spans="1:31" x14ac:dyDescent="0.25">
      <c r="A132" s="117" t="s">
        <v>525</v>
      </c>
      <c r="B132" s="115" t="s">
        <v>540</v>
      </c>
      <c r="C132" s="115" t="s">
        <v>579</v>
      </c>
      <c r="D132" s="93" t="s">
        <v>541</v>
      </c>
      <c r="E132" s="12">
        <f>'Hazard &amp; Exposure'!O129</f>
        <v>3.2676596637425992</v>
      </c>
      <c r="F132" s="12">
        <f>'Hazard &amp; Exposure'!P129</f>
        <v>6.8071669453051387</v>
      </c>
      <c r="G132" s="159">
        <f>'Hazard &amp; Exposure'!Q129</f>
        <v>5.3009667844455404</v>
      </c>
      <c r="H132" s="12">
        <f>'Hazard &amp; Exposure'!W129</f>
        <v>10</v>
      </c>
      <c r="I132" s="12">
        <f>'Hazard &amp; Exposure'!T129</f>
        <v>10</v>
      </c>
      <c r="J132" s="12">
        <f>'Hazard &amp; Exposure'!AA129</f>
        <v>10</v>
      </c>
      <c r="K132" s="12">
        <f t="shared" ref="K132:K149" si="24">(10-GEOMEAN(((10-G132)/10*9+1),((10-J132)/10*9+1)))/9*10</f>
        <v>8.5703010201131029</v>
      </c>
      <c r="L132" s="12">
        <f>Vulnerability!J129</f>
        <v>5.9123321252366772</v>
      </c>
      <c r="M132" s="12">
        <f>Vulnerability!O129</f>
        <v>5.472427492671776</v>
      </c>
      <c r="N132" s="12">
        <f t="shared" ref="N132:N149" si="25">AVERAGE(L132,L132,M132)</f>
        <v>5.7656972477150434</v>
      </c>
      <c r="O132" s="12">
        <f>Vulnerability!AA129</f>
        <v>6.7687097545256734</v>
      </c>
      <c r="P132" s="12">
        <f>Vulnerability!AG129</f>
        <v>8.0109075940953876</v>
      </c>
      <c r="Q132" s="12">
        <f t="shared" ref="Q132:Q149" si="26">(10-GEOMEAN(((10-O132)/10*9+1),((10-P132)/10*9+1)))/9*10</f>
        <v>7.4420065939325628</v>
      </c>
      <c r="R132" s="12">
        <f t="shared" ref="R132:R149" si="27">(10-GEOMEAN(((10-N132)/10*9+1),((10-Q132)/10*9+1)))/9*10</f>
        <v>6.6824677350448756</v>
      </c>
      <c r="S132" s="12">
        <f>'Lack of Coping Capacity'!F129</f>
        <v>9.0741303159868121</v>
      </c>
      <c r="T132" s="12">
        <f>'Lack of Coping Capacity'!I129</f>
        <v>8.4814011573791497</v>
      </c>
      <c r="U132" s="12">
        <f>'Lack of Coping Capacity'!J129</f>
        <v>8.77776573668298</v>
      </c>
      <c r="V132" s="12">
        <f>'Lack of Coping Capacity'!M129</f>
        <v>4.0873843546619799</v>
      </c>
      <c r="W132" s="12">
        <f>'Lack of Coping Capacity'!S129</f>
        <v>6.9611111111111104</v>
      </c>
      <c r="X132" s="12">
        <f>'Lack of Coping Capacity'!U129</f>
        <v>7.313265781810947</v>
      </c>
      <c r="Y132" s="12">
        <f>'Lack of Coping Capacity'!V129</f>
        <v>6.1205870825280124</v>
      </c>
      <c r="Z132" s="12">
        <f>'Lack of Coping Capacity'!AB129</f>
        <v>8.3770804987890024</v>
      </c>
      <c r="AA132" s="12">
        <f>'Lack of Coping Capacity'!AI129</f>
        <v>5.1365251441479209</v>
      </c>
      <c r="AB132" s="12">
        <f>'Lack of Coping Capacity'!AE129</f>
        <v>9.69</v>
      </c>
      <c r="AC132" s="12">
        <f>'Lack of Coping Capacity'!AJ129</f>
        <v>7.7345352143123085</v>
      </c>
      <c r="AD132" s="12">
        <f t="shared" ref="AD132:AD149" si="28">(10-GEOMEAN(((10-U132)/10*9+1),((10-Y132)/10*9+1),((10-AC132)/10*9+1)))/9*10</f>
        <v>7.7106806509985324</v>
      </c>
      <c r="AE132" s="12">
        <f t="shared" ref="AE132:AE149" si="29">K132^(1/3)*R132^(1/3)*AD132^(1/3)</f>
        <v>7.6150931671067426</v>
      </c>
    </row>
    <row r="133" spans="1:31" x14ac:dyDescent="0.25">
      <c r="A133" s="117" t="s">
        <v>504</v>
      </c>
      <c r="B133" s="115" t="s">
        <v>515</v>
      </c>
      <c r="C133" s="115" t="s">
        <v>580</v>
      </c>
      <c r="D133" s="93" t="s">
        <v>516</v>
      </c>
      <c r="E133" s="12">
        <f>'Hazard &amp; Exposure'!O117</f>
        <v>3.2089063481603741</v>
      </c>
      <c r="F133" s="12">
        <f>'Hazard &amp; Exposure'!P117</f>
        <v>6.931002855848285</v>
      </c>
      <c r="G133" s="159">
        <f>'Hazard &amp; Exposure'!Q117</f>
        <v>5.3637576885010487</v>
      </c>
      <c r="H133" s="12">
        <f>'Hazard &amp; Exposure'!W117</f>
        <v>10</v>
      </c>
      <c r="I133" s="12">
        <f>'Hazard &amp; Exposure'!T117</f>
        <v>9.6347316971429038</v>
      </c>
      <c r="J133" s="12">
        <f>'Hazard &amp; Exposure'!AA117</f>
        <v>10</v>
      </c>
      <c r="K133" s="12">
        <f t="shared" si="24"/>
        <v>8.5840677305288722</v>
      </c>
      <c r="L133" s="12">
        <f>Vulnerability!J117</f>
        <v>8.3891767115354074</v>
      </c>
      <c r="M133" s="12">
        <f>Vulnerability!O117</f>
        <v>5.1324999999999994</v>
      </c>
      <c r="N133" s="12">
        <f t="shared" si="25"/>
        <v>7.303617807690272</v>
      </c>
      <c r="O133" s="12">
        <f>Vulnerability!AA117</f>
        <v>2.9306987067235224</v>
      </c>
      <c r="P133" s="12">
        <f>Vulnerability!AG117</f>
        <v>0.92612835724722431</v>
      </c>
      <c r="Q133" s="12">
        <f t="shared" si="26"/>
        <v>1.983276797420825</v>
      </c>
      <c r="R133" s="12">
        <f t="shared" si="27"/>
        <v>5.2158445332445327</v>
      </c>
      <c r="S133" s="12">
        <f>'Lack of Coping Capacity'!F117</f>
        <v>8.9376933232166333</v>
      </c>
      <c r="T133" s="12">
        <f>'Lack of Coping Capacity'!I117</f>
        <v>8.2354505062103271</v>
      </c>
      <c r="U133" s="12">
        <f>'Lack of Coping Capacity'!J117</f>
        <v>8.5865719147134811</v>
      </c>
      <c r="V133" s="12">
        <f>'Lack of Coping Capacity'!M117</f>
        <v>7.4741640376789604</v>
      </c>
      <c r="W133" s="12">
        <f>'Lack of Coping Capacity'!S117</f>
        <v>9.9237502699999993</v>
      </c>
      <c r="X133" s="12">
        <f>'Lack of Coping Capacity'!U117</f>
        <v>9.6</v>
      </c>
      <c r="Y133" s="12">
        <f>'Lack of Coping Capacity'!V117</f>
        <v>8.9993047692263204</v>
      </c>
      <c r="Z133" s="12">
        <f>'Lack of Coping Capacity'!AB117</f>
        <v>5.7536227849114523</v>
      </c>
      <c r="AA133" s="12">
        <f>'Lack of Coping Capacity'!AI117</f>
        <v>10</v>
      </c>
      <c r="AB133" s="12" t="str">
        <f>'Lack of Coping Capacity'!AE117</f>
        <v>x</v>
      </c>
      <c r="AC133" s="12">
        <f>'Lack of Coping Capacity'!AJ117</f>
        <v>7.8768113924557266</v>
      </c>
      <c r="AD133" s="12">
        <f t="shared" si="28"/>
        <v>8.527628812278703</v>
      </c>
      <c r="AE133" s="12">
        <f t="shared" si="29"/>
        <v>7.2546314451080356</v>
      </c>
    </row>
    <row r="134" spans="1:31" x14ac:dyDescent="0.25">
      <c r="A134" s="117" t="s">
        <v>467</v>
      </c>
      <c r="B134" s="115" t="s">
        <v>476</v>
      </c>
      <c r="C134" s="115" t="s">
        <v>578</v>
      </c>
      <c r="D134" s="93" t="s">
        <v>477</v>
      </c>
      <c r="E134" s="12">
        <f>'Hazard &amp; Exposure'!O98</f>
        <v>4.4998251162614498</v>
      </c>
      <c r="F134" s="12">
        <f>'Hazard &amp; Exposure'!P98</f>
        <v>6.5999431197098799</v>
      </c>
      <c r="G134" s="159">
        <f>'Hazard &amp; Exposure'!Q98</f>
        <v>5.6499187722564326</v>
      </c>
      <c r="H134" s="12">
        <f>'Hazard &amp; Exposure'!W98</f>
        <v>10</v>
      </c>
      <c r="I134" s="12">
        <f>'Hazard &amp; Exposure'!T98</f>
        <v>9.4963814816019507</v>
      </c>
      <c r="J134" s="12">
        <f>'Hazard &amp; Exposure'!AA98</f>
        <v>10</v>
      </c>
      <c r="K134" s="12">
        <f t="shared" si="24"/>
        <v>8.647781760899024</v>
      </c>
      <c r="L134" s="12">
        <f>Vulnerability!J98</f>
        <v>9.573516388544661</v>
      </c>
      <c r="M134" s="12">
        <f>Vulnerability!O98</f>
        <v>10</v>
      </c>
      <c r="N134" s="12">
        <f t="shared" si="25"/>
        <v>9.7156775923631074</v>
      </c>
      <c r="O134" s="12">
        <f>Vulnerability!AA98</f>
        <v>3.3865498058673444</v>
      </c>
      <c r="P134" s="12">
        <f>Vulnerability!AG98</f>
        <v>4.9630712263127652</v>
      </c>
      <c r="Q134" s="12">
        <f t="shared" si="26"/>
        <v>4.2197461521781827</v>
      </c>
      <c r="R134" s="12">
        <f t="shared" si="27"/>
        <v>8.010072308770761</v>
      </c>
      <c r="S134" s="12">
        <f>'Lack of Coping Capacity'!F98</f>
        <v>5.7696490037761592</v>
      </c>
      <c r="T134" s="12">
        <f>'Lack of Coping Capacity'!I98</f>
        <v>9.307685232162477</v>
      </c>
      <c r="U134" s="12">
        <f>'Lack of Coping Capacity'!J98</f>
        <v>7.5386671179693181</v>
      </c>
      <c r="V134" s="12">
        <f>'Lack of Coping Capacity'!M98</f>
        <v>7.3808660795689001</v>
      </c>
      <c r="W134" s="12">
        <f>'Lack of Coping Capacity'!S98</f>
        <v>9.7328859083892603</v>
      </c>
      <c r="X134" s="12">
        <f>'Lack of Coping Capacity'!U98</f>
        <v>8.5136604607862196</v>
      </c>
      <c r="Y134" s="12">
        <f>'Lack of Coping Capacity'!V98</f>
        <v>8.5424708162481267</v>
      </c>
      <c r="Z134" s="12">
        <f>'Lack of Coping Capacity'!AB98</f>
        <v>8.6335737116273936</v>
      </c>
      <c r="AA134" s="12">
        <f>'Lack of Coping Capacity'!AI98</f>
        <v>4.5195373333333331</v>
      </c>
      <c r="AB134" s="12" t="str">
        <f>'Lack of Coping Capacity'!AE98</f>
        <v>x</v>
      </c>
      <c r="AC134" s="12">
        <f>'Lack of Coping Capacity'!AJ98</f>
        <v>6.5765555224803638</v>
      </c>
      <c r="AD134" s="12">
        <f t="shared" si="28"/>
        <v>7.6458618194361119</v>
      </c>
      <c r="AE134" s="12">
        <f t="shared" si="29"/>
        <v>8.0907578047908348</v>
      </c>
    </row>
    <row r="135" spans="1:31" x14ac:dyDescent="0.25">
      <c r="A135" s="117" t="s">
        <v>504</v>
      </c>
      <c r="B135" s="115" t="s">
        <v>511</v>
      </c>
      <c r="C135" s="115" t="s">
        <v>580</v>
      </c>
      <c r="D135" s="93" t="s">
        <v>512</v>
      </c>
      <c r="E135" s="12">
        <f>'Hazard &amp; Exposure'!O115</f>
        <v>8.9071192897560216</v>
      </c>
      <c r="F135" s="12">
        <f>'Hazard &amp; Exposure'!P115</f>
        <v>6.6737580999489587</v>
      </c>
      <c r="G135" s="159">
        <f>'Hazard &amp; Exposure'!Q115</f>
        <v>7.9838295847584284</v>
      </c>
      <c r="H135" s="12">
        <f>'Hazard &amp; Exposure'!W115</f>
        <v>9</v>
      </c>
      <c r="I135" s="12">
        <f>'Hazard &amp; Exposure'!T115</f>
        <v>9.6347316971429038</v>
      </c>
      <c r="J135" s="12">
        <f>'Hazard &amp; Exposure'!AA115</f>
        <v>9</v>
      </c>
      <c r="K135" s="12">
        <f t="shared" si="24"/>
        <v>8.5416678294145356</v>
      </c>
      <c r="L135" s="12">
        <f>Vulnerability!J115</f>
        <v>8.3905639201872546</v>
      </c>
      <c r="M135" s="12">
        <f>Vulnerability!O115</f>
        <v>5.1324999999999994</v>
      </c>
      <c r="N135" s="12">
        <f t="shared" si="25"/>
        <v>7.3045426134581701</v>
      </c>
      <c r="O135" s="12">
        <f>Vulnerability!AA115</f>
        <v>2.2837740380819112</v>
      </c>
      <c r="P135" s="12">
        <f>Vulnerability!AG115</f>
        <v>3.3214204569504102</v>
      </c>
      <c r="Q135" s="12">
        <f t="shared" si="26"/>
        <v>2.8188119667904092</v>
      </c>
      <c r="R135" s="12">
        <f t="shared" si="27"/>
        <v>5.4928191379322868</v>
      </c>
      <c r="S135" s="12">
        <f>'Lack of Coping Capacity'!F115</f>
        <v>8.9376933232166333</v>
      </c>
      <c r="T135" s="12">
        <f>'Lack of Coping Capacity'!I115</f>
        <v>8.2354505062103271</v>
      </c>
      <c r="U135" s="12">
        <f>'Lack of Coping Capacity'!J115</f>
        <v>8.5865719147134811</v>
      </c>
      <c r="V135" s="12">
        <f>'Lack of Coping Capacity'!M115</f>
        <v>7.4741640376789604</v>
      </c>
      <c r="W135" s="12">
        <f>'Lack of Coping Capacity'!S115</f>
        <v>9.9237502699999993</v>
      </c>
      <c r="X135" s="12">
        <f>'Lack of Coping Capacity'!U115</f>
        <v>9.6</v>
      </c>
      <c r="Y135" s="12">
        <f>'Lack of Coping Capacity'!V115</f>
        <v>8.9993047692263204</v>
      </c>
      <c r="Z135" s="12">
        <f>'Lack of Coping Capacity'!AB115</f>
        <v>5.7536227849114523</v>
      </c>
      <c r="AA135" s="12">
        <f>'Lack of Coping Capacity'!AI115</f>
        <v>10</v>
      </c>
      <c r="AB135" s="12" t="str">
        <f>'Lack of Coping Capacity'!AE115</f>
        <v>x</v>
      </c>
      <c r="AC135" s="12">
        <f>'Lack of Coping Capacity'!AJ115</f>
        <v>7.8768113924557266</v>
      </c>
      <c r="AD135" s="12">
        <f t="shared" si="28"/>
        <v>8.527628812278703</v>
      </c>
      <c r="AE135" s="12">
        <f t="shared" si="29"/>
        <v>7.3686640259015297</v>
      </c>
    </row>
    <row r="136" spans="1:31" x14ac:dyDescent="0.25">
      <c r="A136" s="117" t="s">
        <v>504</v>
      </c>
      <c r="B136" s="115" t="s">
        <v>505</v>
      </c>
      <c r="C136" s="115" t="s">
        <v>580</v>
      </c>
      <c r="D136" s="93" t="s">
        <v>506</v>
      </c>
      <c r="E136" s="12">
        <f>'Hazard &amp; Exposure'!O112</f>
        <v>8.7945480363677415</v>
      </c>
      <c r="F136" s="12">
        <f>'Hazard &amp; Exposure'!P112</f>
        <v>0.35651927936956956</v>
      </c>
      <c r="G136" s="159">
        <f>'Hazard &amp; Exposure'!Q112</f>
        <v>6.1197495412236815</v>
      </c>
      <c r="H136" s="12">
        <f>'Hazard &amp; Exposure'!W112</f>
        <v>10</v>
      </c>
      <c r="I136" s="12">
        <f>'Hazard &amp; Exposure'!T112</f>
        <v>9.6347316971429038</v>
      </c>
      <c r="J136" s="12">
        <f>'Hazard &amp; Exposure'!AA112</f>
        <v>10</v>
      </c>
      <c r="K136" s="12">
        <f t="shared" si="24"/>
        <v>8.756125484854568</v>
      </c>
      <c r="L136" s="12">
        <f>Vulnerability!J112</f>
        <v>8.2830701346607292</v>
      </c>
      <c r="M136" s="12">
        <f>Vulnerability!O112</f>
        <v>5.1324999999999994</v>
      </c>
      <c r="N136" s="12">
        <f t="shared" si="25"/>
        <v>7.2328800897738192</v>
      </c>
      <c r="O136" s="12">
        <f>Vulnerability!AA112</f>
        <v>8.7537640398968666</v>
      </c>
      <c r="P136" s="12">
        <f>Vulnerability!AG112</f>
        <v>7.6528443162095972</v>
      </c>
      <c r="Q136" s="12">
        <f t="shared" si="26"/>
        <v>8.2558816806732427</v>
      </c>
      <c r="R136" s="12">
        <f t="shared" si="27"/>
        <v>7.7834633908499429</v>
      </c>
      <c r="S136" s="12">
        <f>'Lack of Coping Capacity'!F112</f>
        <v>8.9376933232166333</v>
      </c>
      <c r="T136" s="12">
        <f>'Lack of Coping Capacity'!I112</f>
        <v>8.2354505062103271</v>
      </c>
      <c r="U136" s="12">
        <f>'Lack of Coping Capacity'!J112</f>
        <v>8.5865719147134811</v>
      </c>
      <c r="V136" s="12">
        <f>'Lack of Coping Capacity'!M112</f>
        <v>7.4741640376789604</v>
      </c>
      <c r="W136" s="12">
        <f>'Lack of Coping Capacity'!S112</f>
        <v>9.9237502699999993</v>
      </c>
      <c r="X136" s="12">
        <f>'Lack of Coping Capacity'!U112</f>
        <v>9.6</v>
      </c>
      <c r="Y136" s="12">
        <f>'Lack of Coping Capacity'!V112</f>
        <v>8.9993047692263204</v>
      </c>
      <c r="Z136" s="12">
        <f>'Lack of Coping Capacity'!AB112</f>
        <v>5.7536227849114523</v>
      </c>
      <c r="AA136" s="12">
        <f>'Lack of Coping Capacity'!AI112</f>
        <v>10</v>
      </c>
      <c r="AB136" s="12" t="str">
        <f>'Lack of Coping Capacity'!AE112</f>
        <v>x</v>
      </c>
      <c r="AC136" s="12">
        <f>'Lack of Coping Capacity'!AJ112</f>
        <v>7.8768113924557266</v>
      </c>
      <c r="AD136" s="12">
        <f t="shared" si="28"/>
        <v>8.527628812278703</v>
      </c>
      <c r="AE136" s="12">
        <f t="shared" si="29"/>
        <v>8.3452186009155334</v>
      </c>
    </row>
    <row r="137" spans="1:31" x14ac:dyDescent="0.25">
      <c r="A137" s="117" t="s">
        <v>504</v>
      </c>
      <c r="B137" s="115" t="s">
        <v>521</v>
      </c>
      <c r="C137" s="115" t="s">
        <v>580</v>
      </c>
      <c r="D137" s="93" t="s">
        <v>522</v>
      </c>
      <c r="E137" s="12">
        <f>'Hazard &amp; Exposure'!O120</f>
        <v>8.3644214509122516</v>
      </c>
      <c r="F137" s="12">
        <f>'Hazard &amp; Exposure'!P120</f>
        <v>1.6588058213153309</v>
      </c>
      <c r="G137" s="159">
        <f>'Hazard &amp; Exposure'!Q120</f>
        <v>6.0157652735329536</v>
      </c>
      <c r="H137" s="12">
        <f>'Hazard &amp; Exposure'!W120</f>
        <v>10</v>
      </c>
      <c r="I137" s="12">
        <f>'Hazard &amp; Exposure'!T120</f>
        <v>9.6347316971429038</v>
      </c>
      <c r="J137" s="12">
        <f>'Hazard &amp; Exposure'!AA120</f>
        <v>10</v>
      </c>
      <c r="K137" s="12">
        <f t="shared" si="24"/>
        <v>8.7317214046765308</v>
      </c>
      <c r="L137" s="12">
        <f>Vulnerability!J120</f>
        <v>8.2578212453719644</v>
      </c>
      <c r="M137" s="12">
        <f>Vulnerability!O120</f>
        <v>5.1324999999999994</v>
      </c>
      <c r="N137" s="12">
        <f t="shared" si="25"/>
        <v>7.2160474969146433</v>
      </c>
      <c r="O137" s="12">
        <f>Vulnerability!AA120</f>
        <v>3.4486940147140435</v>
      </c>
      <c r="P137" s="12">
        <f>Vulnerability!AG120</f>
        <v>3.3944884770337009</v>
      </c>
      <c r="Q137" s="12">
        <f t="shared" si="26"/>
        <v>3.4216390097377452</v>
      </c>
      <c r="R137" s="12">
        <f t="shared" si="27"/>
        <v>5.6383619852660161</v>
      </c>
      <c r="S137" s="12">
        <f>'Lack of Coping Capacity'!F120</f>
        <v>8.9376933232166333</v>
      </c>
      <c r="T137" s="12">
        <f>'Lack of Coping Capacity'!I120</f>
        <v>8.2354505062103271</v>
      </c>
      <c r="U137" s="12">
        <f>'Lack of Coping Capacity'!J120</f>
        <v>8.5865719147134811</v>
      </c>
      <c r="V137" s="12">
        <f>'Lack of Coping Capacity'!M120</f>
        <v>7.4741640376789604</v>
      </c>
      <c r="W137" s="12">
        <f>'Lack of Coping Capacity'!S120</f>
        <v>9.9237502699999993</v>
      </c>
      <c r="X137" s="12">
        <f>'Lack of Coping Capacity'!U120</f>
        <v>9.6</v>
      </c>
      <c r="Y137" s="12">
        <f>'Lack of Coping Capacity'!V120</f>
        <v>8.9993047692263204</v>
      </c>
      <c r="Z137" s="12">
        <f>'Lack of Coping Capacity'!AB120</f>
        <v>5.7536227849114523</v>
      </c>
      <c r="AA137" s="12">
        <f>'Lack of Coping Capacity'!AI120</f>
        <v>10</v>
      </c>
      <c r="AB137" s="12" t="str">
        <f>'Lack of Coping Capacity'!AE120</f>
        <v>x</v>
      </c>
      <c r="AC137" s="12">
        <f>'Lack of Coping Capacity'!AJ120</f>
        <v>7.8768113924557266</v>
      </c>
      <c r="AD137" s="12">
        <f t="shared" si="28"/>
        <v>8.527628812278703</v>
      </c>
      <c r="AE137" s="12">
        <f t="shared" si="29"/>
        <v>7.4879057802087488</v>
      </c>
    </row>
    <row r="138" spans="1:31" x14ac:dyDescent="0.25">
      <c r="A138" s="117" t="s">
        <v>525</v>
      </c>
      <c r="B138" s="115" t="s">
        <v>528</v>
      </c>
      <c r="C138" s="115" t="s">
        <v>579</v>
      </c>
      <c r="D138" s="93" t="s">
        <v>529</v>
      </c>
      <c r="E138" s="12">
        <f>'Hazard &amp; Exposure'!O123</f>
        <v>8.7601388098037116</v>
      </c>
      <c r="F138" s="12">
        <f>'Hazard &amp; Exposure'!P123</f>
        <v>0.96470201962013991</v>
      </c>
      <c r="G138" s="159">
        <f>'Hazard &amp; Exposure'!Q123</f>
        <v>6.2270629201296952</v>
      </c>
      <c r="H138" s="12">
        <f>'Hazard &amp; Exposure'!W123</f>
        <v>10</v>
      </c>
      <c r="I138" s="12">
        <f>'Hazard &amp; Exposure'!T123</f>
        <v>10</v>
      </c>
      <c r="J138" s="12">
        <f>'Hazard &amp; Exposure'!AA123</f>
        <v>10</v>
      </c>
      <c r="K138" s="12">
        <f t="shared" si="24"/>
        <v>8.781578923696312</v>
      </c>
      <c r="L138" s="12">
        <f>Vulnerability!J123</f>
        <v>6.0522106491391074</v>
      </c>
      <c r="M138" s="12">
        <f>Vulnerability!O123</f>
        <v>5.472427492671776</v>
      </c>
      <c r="N138" s="12">
        <f t="shared" si="25"/>
        <v>5.8589495969833303</v>
      </c>
      <c r="O138" s="12">
        <f>Vulnerability!AA123</f>
        <v>5.8557283544962431</v>
      </c>
      <c r="P138" s="12">
        <f>Vulnerability!AG123</f>
        <v>2.8167515464155901</v>
      </c>
      <c r="Q138" s="12">
        <f t="shared" si="26"/>
        <v>4.508836182462316</v>
      </c>
      <c r="R138" s="12">
        <f t="shared" si="27"/>
        <v>5.2224597981244134</v>
      </c>
      <c r="S138" s="12">
        <f>'Lack of Coping Capacity'!F123</f>
        <v>9.0741303159868121</v>
      </c>
      <c r="T138" s="12">
        <f>'Lack of Coping Capacity'!I123</f>
        <v>8.4814011573791497</v>
      </c>
      <c r="U138" s="12">
        <f>'Lack of Coping Capacity'!J123</f>
        <v>8.77776573668298</v>
      </c>
      <c r="V138" s="12">
        <f>'Lack of Coping Capacity'!M123</f>
        <v>4.0873843546619799</v>
      </c>
      <c r="W138" s="12">
        <f>'Lack of Coping Capacity'!S123</f>
        <v>6.9611111111111104</v>
      </c>
      <c r="X138" s="12">
        <f>'Lack of Coping Capacity'!U123</f>
        <v>7.313265781810947</v>
      </c>
      <c r="Y138" s="12">
        <f>'Lack of Coping Capacity'!V123</f>
        <v>6.1205870825280124</v>
      </c>
      <c r="Z138" s="12">
        <f>'Lack of Coping Capacity'!AB123</f>
        <v>8.3770804987890024</v>
      </c>
      <c r="AA138" s="12">
        <f>'Lack of Coping Capacity'!AI123</f>
        <v>5.1365251441479209</v>
      </c>
      <c r="AB138" s="12">
        <f>'Lack of Coping Capacity'!AE123</f>
        <v>9.69</v>
      </c>
      <c r="AC138" s="12">
        <f>'Lack of Coping Capacity'!AJ123</f>
        <v>7.7345352143123085</v>
      </c>
      <c r="AD138" s="12">
        <f t="shared" si="28"/>
        <v>7.7106806509985324</v>
      </c>
      <c r="AE138" s="12">
        <f t="shared" si="29"/>
        <v>7.0715314464594492</v>
      </c>
    </row>
    <row r="139" spans="1:31" x14ac:dyDescent="0.25">
      <c r="A139" s="117" t="s">
        <v>504</v>
      </c>
      <c r="B139" s="115" t="s">
        <v>517</v>
      </c>
      <c r="C139" s="115" t="s">
        <v>580</v>
      </c>
      <c r="D139" s="93" t="s">
        <v>518</v>
      </c>
      <c r="E139" s="12">
        <f>'Hazard &amp; Exposure'!O118</f>
        <v>8.8067654698434445</v>
      </c>
      <c r="F139" s="12">
        <f>'Hazard &amp; Exposure'!P118</f>
        <v>2.1866522813547502</v>
      </c>
      <c r="G139" s="159">
        <f>'Hazard &amp; Exposure'!Q118</f>
        <v>6.5762420055004744</v>
      </c>
      <c r="H139" s="12">
        <f>'Hazard &amp; Exposure'!W118</f>
        <v>10</v>
      </c>
      <c r="I139" s="12">
        <f>'Hazard &amp; Exposure'!T118</f>
        <v>9.6347316971429038</v>
      </c>
      <c r="J139" s="12">
        <f>'Hazard &amp; Exposure'!AA118</f>
        <v>10</v>
      </c>
      <c r="K139" s="12">
        <f t="shared" si="24"/>
        <v>8.8663965522688333</v>
      </c>
      <c r="L139" s="12">
        <f>Vulnerability!J118</f>
        <v>7.9502602513512226</v>
      </c>
      <c r="M139" s="12">
        <f>Vulnerability!O118</f>
        <v>5.1324999999999994</v>
      </c>
      <c r="N139" s="12">
        <f t="shared" si="25"/>
        <v>7.0110068342341485</v>
      </c>
      <c r="O139" s="12">
        <f>Vulnerability!AA118</f>
        <v>4.2639172518972135</v>
      </c>
      <c r="P139" s="12">
        <f>Vulnerability!AG118</f>
        <v>6.6512099350694323</v>
      </c>
      <c r="Q139" s="12">
        <f t="shared" si="26"/>
        <v>5.5850086921096844</v>
      </c>
      <c r="R139" s="12">
        <f t="shared" si="27"/>
        <v>6.3511115141985357</v>
      </c>
      <c r="S139" s="12">
        <f>'Lack of Coping Capacity'!F118</f>
        <v>8.9376933232166333</v>
      </c>
      <c r="T139" s="12">
        <f>'Lack of Coping Capacity'!I118</f>
        <v>8.2354505062103271</v>
      </c>
      <c r="U139" s="12">
        <f>'Lack of Coping Capacity'!J118</f>
        <v>8.5865719147134811</v>
      </c>
      <c r="V139" s="12">
        <f>'Lack of Coping Capacity'!M118</f>
        <v>7.4741640376789604</v>
      </c>
      <c r="W139" s="12">
        <f>'Lack of Coping Capacity'!S118</f>
        <v>9.9237502699999993</v>
      </c>
      <c r="X139" s="12">
        <f>'Lack of Coping Capacity'!U118</f>
        <v>9.6</v>
      </c>
      <c r="Y139" s="12">
        <f>'Lack of Coping Capacity'!V118</f>
        <v>8.9993047692263204</v>
      </c>
      <c r="Z139" s="12">
        <f>'Lack of Coping Capacity'!AB118</f>
        <v>5.7536227849114523</v>
      </c>
      <c r="AA139" s="12">
        <f>'Lack of Coping Capacity'!AI118</f>
        <v>10</v>
      </c>
      <c r="AB139" s="12" t="str">
        <f>'Lack of Coping Capacity'!AE118</f>
        <v>x</v>
      </c>
      <c r="AC139" s="12">
        <f>'Lack of Coping Capacity'!AJ118</f>
        <v>7.8768113924557266</v>
      </c>
      <c r="AD139" s="12">
        <f t="shared" si="28"/>
        <v>8.527628812278703</v>
      </c>
      <c r="AE139" s="12">
        <f t="shared" si="29"/>
        <v>7.8308407588174154</v>
      </c>
    </row>
    <row r="140" spans="1:31" x14ac:dyDescent="0.25">
      <c r="A140" s="117" t="s">
        <v>504</v>
      </c>
      <c r="B140" s="115" t="s">
        <v>509</v>
      </c>
      <c r="C140" s="115" t="s">
        <v>580</v>
      </c>
      <c r="D140" s="93" t="s">
        <v>510</v>
      </c>
      <c r="E140" s="12">
        <f>'Hazard &amp; Exposure'!O114</f>
        <v>8.8176447983303792</v>
      </c>
      <c r="F140" s="12">
        <f>'Hazard &amp; Exposure'!P114</f>
        <v>3.8375915841706947</v>
      </c>
      <c r="G140" s="159">
        <f>'Hazard &amp; Exposure'!Q114</f>
        <v>7.0268030901128551</v>
      </c>
      <c r="H140" s="12">
        <f>'Hazard &amp; Exposure'!W114</f>
        <v>10</v>
      </c>
      <c r="I140" s="12">
        <f>'Hazard &amp; Exposure'!T114</f>
        <v>9.6347316971429038</v>
      </c>
      <c r="J140" s="12">
        <f>'Hazard &amp; Exposure'!AA114</f>
        <v>10</v>
      </c>
      <c r="K140" s="12">
        <f t="shared" si="24"/>
        <v>8.9808247399085452</v>
      </c>
      <c r="L140" s="12">
        <f>Vulnerability!J114</f>
        <v>8.2446216844031923</v>
      </c>
      <c r="M140" s="12">
        <f>Vulnerability!O114</f>
        <v>5.1324999999999994</v>
      </c>
      <c r="N140" s="12">
        <f t="shared" si="25"/>
        <v>7.2072477896021283</v>
      </c>
      <c r="O140" s="12">
        <f>Vulnerability!AA114</f>
        <v>8.5698054217952411</v>
      </c>
      <c r="P140" s="12">
        <f>Vulnerability!AG114</f>
        <v>7.6528443162095972</v>
      </c>
      <c r="Q140" s="12">
        <f t="shared" si="26"/>
        <v>8.1465684682983319</v>
      </c>
      <c r="R140" s="12">
        <f t="shared" si="27"/>
        <v>7.7091750023156935</v>
      </c>
      <c r="S140" s="12">
        <f>'Lack of Coping Capacity'!F114</f>
        <v>8.9376933232166333</v>
      </c>
      <c r="T140" s="12">
        <f>'Lack of Coping Capacity'!I114</f>
        <v>8.2354505062103271</v>
      </c>
      <c r="U140" s="12">
        <f>'Lack of Coping Capacity'!J114</f>
        <v>8.5865719147134811</v>
      </c>
      <c r="V140" s="12">
        <f>'Lack of Coping Capacity'!M114</f>
        <v>7.4741640376789604</v>
      </c>
      <c r="W140" s="12">
        <f>'Lack of Coping Capacity'!S114</f>
        <v>9.9237502699999993</v>
      </c>
      <c r="X140" s="12">
        <f>'Lack of Coping Capacity'!U114</f>
        <v>9.6</v>
      </c>
      <c r="Y140" s="12">
        <f>'Lack of Coping Capacity'!V114</f>
        <v>8.9993047692263204</v>
      </c>
      <c r="Z140" s="12">
        <f>'Lack of Coping Capacity'!AB114</f>
        <v>5.7536227849114523</v>
      </c>
      <c r="AA140" s="12">
        <f>'Lack of Coping Capacity'!AI114</f>
        <v>10</v>
      </c>
      <c r="AB140" s="12" t="str">
        <f>'Lack of Coping Capacity'!AE114</f>
        <v>x</v>
      </c>
      <c r="AC140" s="12">
        <f>'Lack of Coping Capacity'!AJ114</f>
        <v>7.8768113924557266</v>
      </c>
      <c r="AD140" s="12">
        <f t="shared" si="28"/>
        <v>8.527628812278703</v>
      </c>
      <c r="AE140" s="12">
        <f t="shared" si="29"/>
        <v>8.3891405654044142</v>
      </c>
    </row>
    <row r="141" spans="1:31" x14ac:dyDescent="0.25">
      <c r="A141" s="117" t="s">
        <v>525</v>
      </c>
      <c r="B141" s="115" t="s">
        <v>554</v>
      </c>
      <c r="C141" s="115" t="s">
        <v>579</v>
      </c>
      <c r="D141" s="93" t="s">
        <v>555</v>
      </c>
      <c r="E141" s="12">
        <f>'Hazard &amp; Exposure'!O136</f>
        <v>6.8632533982651998</v>
      </c>
      <c r="F141" s="12">
        <f>'Hazard &amp; Exposure'!P136</f>
        <v>7.901118951081556</v>
      </c>
      <c r="G141" s="159">
        <f>'Hazard &amp; Exposure'!Q136</f>
        <v>7.4184711401477283</v>
      </c>
      <c r="H141" s="12">
        <f>'Hazard &amp; Exposure'!W136</f>
        <v>10</v>
      </c>
      <c r="I141" s="12">
        <f>'Hazard &amp; Exposure'!T136</f>
        <v>10</v>
      </c>
      <c r="J141" s="12">
        <f>'Hazard &amp; Exposure'!AA136</f>
        <v>10</v>
      </c>
      <c r="K141" s="12">
        <f t="shared" si="24"/>
        <v>9.0855412404153544</v>
      </c>
      <c r="L141" s="12">
        <f>Vulnerability!J136</f>
        <v>6.0438756129778088</v>
      </c>
      <c r="M141" s="12">
        <f>Vulnerability!O136</f>
        <v>5.472427492671776</v>
      </c>
      <c r="N141" s="12">
        <f t="shared" si="25"/>
        <v>5.8533929062091312</v>
      </c>
      <c r="O141" s="12">
        <f>Vulnerability!AA136</f>
        <v>6.9607629773302193</v>
      </c>
      <c r="P141" s="12">
        <f>Vulnerability!AG136</f>
        <v>5.8364477315777483</v>
      </c>
      <c r="Q141" s="12">
        <f t="shared" si="26"/>
        <v>6.4322555551478047</v>
      </c>
      <c r="R141" s="12">
        <f t="shared" si="27"/>
        <v>6.151261916357802</v>
      </c>
      <c r="S141" s="12">
        <f>'Lack of Coping Capacity'!F136</f>
        <v>9.0741303159868121</v>
      </c>
      <c r="T141" s="12">
        <f>'Lack of Coping Capacity'!I136</f>
        <v>8.4814011573791497</v>
      </c>
      <c r="U141" s="12">
        <f>'Lack of Coping Capacity'!J136</f>
        <v>8.77776573668298</v>
      </c>
      <c r="V141" s="12">
        <f>'Lack of Coping Capacity'!M136</f>
        <v>4.0873843546619799</v>
      </c>
      <c r="W141" s="12">
        <f>'Lack of Coping Capacity'!S136</f>
        <v>6.9611111111111104</v>
      </c>
      <c r="X141" s="12">
        <f>'Lack of Coping Capacity'!U136</f>
        <v>7.313265781810947</v>
      </c>
      <c r="Y141" s="12">
        <f>'Lack of Coping Capacity'!V136</f>
        <v>6.1205870825280124</v>
      </c>
      <c r="Z141" s="12">
        <f>'Lack of Coping Capacity'!AB136</f>
        <v>8.3770804987890024</v>
      </c>
      <c r="AA141" s="12">
        <f>'Lack of Coping Capacity'!AI136</f>
        <v>5.1365251441479209</v>
      </c>
      <c r="AB141" s="12">
        <f>'Lack of Coping Capacity'!AE136</f>
        <v>9.69</v>
      </c>
      <c r="AC141" s="12">
        <f>'Lack of Coping Capacity'!AJ136</f>
        <v>7.7345352143123085</v>
      </c>
      <c r="AD141" s="12">
        <f t="shared" si="28"/>
        <v>7.7106806509985324</v>
      </c>
      <c r="AE141" s="12">
        <f t="shared" si="29"/>
        <v>7.553285722633686</v>
      </c>
    </row>
    <row r="142" spans="1:31" x14ac:dyDescent="0.25">
      <c r="A142" s="117" t="s">
        <v>504</v>
      </c>
      <c r="B142" s="115" t="s">
        <v>507</v>
      </c>
      <c r="C142" s="115" t="s">
        <v>580</v>
      </c>
      <c r="D142" s="93" t="s">
        <v>508</v>
      </c>
      <c r="E142" s="12">
        <f>'Hazard &amp; Exposure'!O113</f>
        <v>8.8948431855272343</v>
      </c>
      <c r="F142" s="12">
        <f>'Hazard &amp; Exposure'!P113</f>
        <v>4.0369673180305901</v>
      </c>
      <c r="G142" s="159">
        <f>'Hazard &amp; Exposure'!Q113</f>
        <v>7.151540681181543</v>
      </c>
      <c r="H142" s="12">
        <f>'Hazard &amp; Exposure'!W113</f>
        <v>10</v>
      </c>
      <c r="I142" s="12">
        <f>'Hazard &amp; Exposure'!T113</f>
        <v>9.6347316971429038</v>
      </c>
      <c r="J142" s="12">
        <f>'Hazard &amp; Exposure'!AA113</f>
        <v>10</v>
      </c>
      <c r="K142" s="12">
        <f t="shared" si="24"/>
        <v>9.0136071897985079</v>
      </c>
      <c r="L142" s="12">
        <f>Vulnerability!J113</f>
        <v>8.0969785241697334</v>
      </c>
      <c r="M142" s="12">
        <f>Vulnerability!O113</f>
        <v>5.1324999999999994</v>
      </c>
      <c r="N142" s="12">
        <f t="shared" si="25"/>
        <v>7.1088190161131557</v>
      </c>
      <c r="O142" s="12">
        <f>Vulnerability!AA113</f>
        <v>4.8178284582365336</v>
      </c>
      <c r="P142" s="12">
        <f>Vulnerability!AG113</f>
        <v>7.6528443162095972</v>
      </c>
      <c r="Q142" s="12">
        <f t="shared" si="26"/>
        <v>6.4459368989979282</v>
      </c>
      <c r="R142" s="12">
        <f t="shared" si="27"/>
        <v>6.7900707420646809</v>
      </c>
      <c r="S142" s="12">
        <f>'Lack of Coping Capacity'!F113</f>
        <v>8.9376933232166333</v>
      </c>
      <c r="T142" s="12">
        <f>'Lack of Coping Capacity'!I113</f>
        <v>8.2354505062103271</v>
      </c>
      <c r="U142" s="12">
        <f>'Lack of Coping Capacity'!J113</f>
        <v>8.5865719147134811</v>
      </c>
      <c r="V142" s="12">
        <f>'Lack of Coping Capacity'!M113</f>
        <v>7.4741640376789604</v>
      </c>
      <c r="W142" s="12">
        <f>'Lack of Coping Capacity'!S113</f>
        <v>9.9237502699999993</v>
      </c>
      <c r="X142" s="12">
        <f>'Lack of Coping Capacity'!U113</f>
        <v>9.6</v>
      </c>
      <c r="Y142" s="12">
        <f>'Lack of Coping Capacity'!V113</f>
        <v>8.9993047692263204</v>
      </c>
      <c r="Z142" s="12">
        <f>'Lack of Coping Capacity'!AB113</f>
        <v>5.7536227849114523</v>
      </c>
      <c r="AA142" s="12">
        <f>'Lack of Coping Capacity'!AI113</f>
        <v>10</v>
      </c>
      <c r="AB142" s="12" t="str">
        <f>'Lack of Coping Capacity'!AE113</f>
        <v>x</v>
      </c>
      <c r="AC142" s="12">
        <f>'Lack of Coping Capacity'!AJ113</f>
        <v>7.8768113924557266</v>
      </c>
      <c r="AD142" s="12">
        <f t="shared" si="28"/>
        <v>8.527628812278703</v>
      </c>
      <c r="AE142" s="12">
        <f t="shared" si="29"/>
        <v>8.051319696446031</v>
      </c>
    </row>
    <row r="143" spans="1:31" x14ac:dyDescent="0.25">
      <c r="A143" s="117" t="s">
        <v>525</v>
      </c>
      <c r="B143" s="115" t="s">
        <v>530</v>
      </c>
      <c r="C143" s="115" t="s">
        <v>579</v>
      </c>
      <c r="D143" s="93" t="s">
        <v>531</v>
      </c>
      <c r="E143" s="12">
        <f>'Hazard &amp; Exposure'!O124</f>
        <v>8.7891847980602869</v>
      </c>
      <c r="F143" s="12">
        <f>'Hazard &amp; Exposure'!P124</f>
        <v>4.0664167327607874</v>
      </c>
      <c r="G143" s="159">
        <f>'Hazard &amp; Exposure'!Q124</f>
        <v>7.0666999989103711</v>
      </c>
      <c r="H143" s="12">
        <f>'Hazard &amp; Exposure'!W124</f>
        <v>10</v>
      </c>
      <c r="I143" s="12">
        <f>'Hazard &amp; Exposure'!T124</f>
        <v>10</v>
      </c>
      <c r="J143" s="12">
        <f>'Hazard &amp; Exposure'!AA124</f>
        <v>10</v>
      </c>
      <c r="K143" s="12">
        <f t="shared" si="24"/>
        <v>8.9912549545128648</v>
      </c>
      <c r="L143" s="12">
        <f>Vulnerability!J124</f>
        <v>5.625</v>
      </c>
      <c r="M143" s="12">
        <f>Vulnerability!O124</f>
        <v>5.472427492671776</v>
      </c>
      <c r="N143" s="12">
        <f t="shared" si="25"/>
        <v>5.5741424975572587</v>
      </c>
      <c r="O143" s="12">
        <f>Vulnerability!AA124</f>
        <v>6.9159843280955098</v>
      </c>
      <c r="P143" s="12">
        <f>Vulnerability!AG124</f>
        <v>8.0109075940953876</v>
      </c>
      <c r="Q143" s="12">
        <f t="shared" si="26"/>
        <v>7.5047629849547048</v>
      </c>
      <c r="R143" s="12">
        <f t="shared" si="27"/>
        <v>6.6425278474718654</v>
      </c>
      <c r="S143" s="12">
        <f>'Lack of Coping Capacity'!F124</f>
        <v>9.0741303159868121</v>
      </c>
      <c r="T143" s="12">
        <f>'Lack of Coping Capacity'!I124</f>
        <v>8.4814011573791497</v>
      </c>
      <c r="U143" s="12">
        <f>'Lack of Coping Capacity'!J124</f>
        <v>8.77776573668298</v>
      </c>
      <c r="V143" s="12">
        <f>'Lack of Coping Capacity'!M124</f>
        <v>4.0873843546619799</v>
      </c>
      <c r="W143" s="12">
        <f>'Lack of Coping Capacity'!S124</f>
        <v>6.9611111111111104</v>
      </c>
      <c r="X143" s="12">
        <f>'Lack of Coping Capacity'!U124</f>
        <v>7.313265781810947</v>
      </c>
      <c r="Y143" s="12">
        <f>'Lack of Coping Capacity'!V124</f>
        <v>6.1205870825280124</v>
      </c>
      <c r="Z143" s="12">
        <f>'Lack of Coping Capacity'!AB124</f>
        <v>8.3770804987890024</v>
      </c>
      <c r="AA143" s="12">
        <f>'Lack of Coping Capacity'!AI124</f>
        <v>5.1365251441479209</v>
      </c>
      <c r="AB143" s="12">
        <f>'Lack of Coping Capacity'!AE124</f>
        <v>9.69</v>
      </c>
      <c r="AC143" s="12">
        <f>'Lack of Coping Capacity'!AJ124</f>
        <v>7.7345352143123085</v>
      </c>
      <c r="AD143" s="12">
        <f t="shared" si="28"/>
        <v>7.7106806509985324</v>
      </c>
      <c r="AE143" s="12">
        <f t="shared" si="29"/>
        <v>7.7223379631246969</v>
      </c>
    </row>
    <row r="144" spans="1:31" x14ac:dyDescent="0.25">
      <c r="A144" s="117" t="s">
        <v>525</v>
      </c>
      <c r="B144" s="115" t="s">
        <v>556</v>
      </c>
      <c r="C144" s="115" t="s">
        <v>579</v>
      </c>
      <c r="D144" s="93" t="s">
        <v>557</v>
      </c>
      <c r="E144" s="12">
        <f>'Hazard &amp; Exposure'!O137</f>
        <v>8.7172275306170715</v>
      </c>
      <c r="F144" s="12">
        <f>'Hazard &amp; Exposure'!P137</f>
        <v>6.4919305639858766</v>
      </c>
      <c r="G144" s="159">
        <f>'Hazard &amp; Exposure'!Q137</f>
        <v>7.7857869965170803</v>
      </c>
      <c r="H144" s="12">
        <f>'Hazard &amp; Exposure'!W137</f>
        <v>10</v>
      </c>
      <c r="I144" s="12">
        <f>'Hazard &amp; Exposure'!T137</f>
        <v>10</v>
      </c>
      <c r="J144" s="12">
        <f>'Hazard &amp; Exposure'!AA137</f>
        <v>10</v>
      </c>
      <c r="K144" s="12">
        <f t="shared" si="24"/>
        <v>9.1889236666169101</v>
      </c>
      <c r="L144" s="12">
        <f>Vulnerability!J137</f>
        <v>6.1278532912180674</v>
      </c>
      <c r="M144" s="12">
        <f>Vulnerability!O137</f>
        <v>5.472427492671776</v>
      </c>
      <c r="N144" s="12">
        <f t="shared" si="25"/>
        <v>5.90937802503597</v>
      </c>
      <c r="O144" s="12">
        <f>Vulnerability!AA137</f>
        <v>6.9059475450752039</v>
      </c>
      <c r="P144" s="12">
        <f>Vulnerability!AG137</f>
        <v>8.0109075940953876</v>
      </c>
      <c r="Q144" s="12">
        <f t="shared" si="26"/>
        <v>7.5004514931118038</v>
      </c>
      <c r="R144" s="12">
        <f t="shared" si="27"/>
        <v>6.7773266682133766</v>
      </c>
      <c r="S144" s="12">
        <f>'Lack of Coping Capacity'!F137</f>
        <v>9.0741303159868121</v>
      </c>
      <c r="T144" s="12">
        <f>'Lack of Coping Capacity'!I137</f>
        <v>8.4814011573791497</v>
      </c>
      <c r="U144" s="12">
        <f>'Lack of Coping Capacity'!J137</f>
        <v>8.77776573668298</v>
      </c>
      <c r="V144" s="12">
        <f>'Lack of Coping Capacity'!M137</f>
        <v>4.0873843546619799</v>
      </c>
      <c r="W144" s="12">
        <f>'Lack of Coping Capacity'!S137</f>
        <v>6.9611111111111104</v>
      </c>
      <c r="X144" s="12">
        <f>'Lack of Coping Capacity'!U137</f>
        <v>7.313265781810947</v>
      </c>
      <c r="Y144" s="12">
        <f>'Lack of Coping Capacity'!V137</f>
        <v>6.1205870825280124</v>
      </c>
      <c r="Z144" s="12">
        <f>'Lack of Coping Capacity'!AB137</f>
        <v>8.3770804987890024</v>
      </c>
      <c r="AA144" s="12">
        <f>'Lack of Coping Capacity'!AI137</f>
        <v>5.1365251441479209</v>
      </c>
      <c r="AB144" s="12">
        <f>'Lack of Coping Capacity'!AE137</f>
        <v>9.69</v>
      </c>
      <c r="AC144" s="12">
        <f>'Lack of Coping Capacity'!AJ137</f>
        <v>7.7345352143123085</v>
      </c>
      <c r="AD144" s="12">
        <f t="shared" si="28"/>
        <v>7.7106806509985324</v>
      </c>
      <c r="AE144" s="12">
        <f t="shared" si="29"/>
        <v>7.8307842716408533</v>
      </c>
    </row>
    <row r="145" spans="1:31" x14ac:dyDescent="0.25">
      <c r="A145" s="117" t="s">
        <v>467</v>
      </c>
      <c r="B145" s="115" t="s">
        <v>488</v>
      </c>
      <c r="C145" s="115" t="s">
        <v>578</v>
      </c>
      <c r="D145" s="93" t="s">
        <v>489</v>
      </c>
      <c r="E145" s="12">
        <f>'Hazard &amp; Exposure'!O104</f>
        <v>8.7368547887144032</v>
      </c>
      <c r="F145" s="12">
        <f>'Hazard &amp; Exposure'!P104</f>
        <v>6.4318353647826516</v>
      </c>
      <c r="G145" s="159">
        <f>'Hazard &amp; Exposure'!Q104</f>
        <v>7.7779744465025447</v>
      </c>
      <c r="H145" s="12">
        <f>'Hazard &amp; Exposure'!W104</f>
        <v>10</v>
      </c>
      <c r="I145" s="12">
        <f>'Hazard &amp; Exposure'!T104</f>
        <v>9.4963814816019507</v>
      </c>
      <c r="J145" s="12">
        <f>'Hazard &amp; Exposure'!AA104</f>
        <v>10</v>
      </c>
      <c r="K145" s="12">
        <f t="shared" si="24"/>
        <v>9.1866669880203915</v>
      </c>
      <c r="L145" s="12">
        <f>Vulnerability!J104</f>
        <v>9.573516388544661</v>
      </c>
      <c r="M145" s="12">
        <f>Vulnerability!O104</f>
        <v>10</v>
      </c>
      <c r="N145" s="12">
        <f t="shared" si="25"/>
        <v>9.7156775923631074</v>
      </c>
      <c r="O145" s="12">
        <f>Vulnerability!AA104</f>
        <v>3.5032772817050848</v>
      </c>
      <c r="P145" s="12">
        <f>Vulnerability!AG104</f>
        <v>6.7359961971923488</v>
      </c>
      <c r="Q145" s="12">
        <f t="shared" si="26"/>
        <v>5.3417829656811788</v>
      </c>
      <c r="R145" s="12">
        <f t="shared" si="27"/>
        <v>8.2737331181765796</v>
      </c>
      <c r="S145" s="12">
        <f>'Lack of Coping Capacity'!F104</f>
        <v>5.7696490037761592</v>
      </c>
      <c r="T145" s="12">
        <f>'Lack of Coping Capacity'!I104</f>
        <v>9.307685232162477</v>
      </c>
      <c r="U145" s="12">
        <f>'Lack of Coping Capacity'!J104</f>
        <v>7.5386671179693181</v>
      </c>
      <c r="V145" s="12">
        <f>'Lack of Coping Capacity'!M104</f>
        <v>7.3808660795689001</v>
      </c>
      <c r="W145" s="12">
        <f>'Lack of Coping Capacity'!S104</f>
        <v>9.7328859083892603</v>
      </c>
      <c r="X145" s="12">
        <f>'Lack of Coping Capacity'!U104</f>
        <v>8.5136604607862196</v>
      </c>
      <c r="Y145" s="12">
        <f>'Lack of Coping Capacity'!V104</f>
        <v>8.5424708162481267</v>
      </c>
      <c r="Z145" s="12">
        <f>'Lack of Coping Capacity'!AB104</f>
        <v>8.6335737116273936</v>
      </c>
      <c r="AA145" s="12">
        <f>'Lack of Coping Capacity'!AI104</f>
        <v>4.5195373333333331</v>
      </c>
      <c r="AB145" s="12" t="str">
        <f>'Lack of Coping Capacity'!AE104</f>
        <v>x</v>
      </c>
      <c r="AC145" s="12">
        <f>'Lack of Coping Capacity'!AJ104</f>
        <v>6.5765555224803638</v>
      </c>
      <c r="AD145" s="12">
        <f t="shared" si="28"/>
        <v>7.6458618194361119</v>
      </c>
      <c r="AE145" s="12">
        <f t="shared" si="29"/>
        <v>8.3450442174908801</v>
      </c>
    </row>
    <row r="146" spans="1:31" x14ac:dyDescent="0.25">
      <c r="A146" s="117" t="s">
        <v>467</v>
      </c>
      <c r="B146" s="115" t="s">
        <v>472</v>
      </c>
      <c r="C146" s="115" t="s">
        <v>578</v>
      </c>
      <c r="D146" s="93" t="s">
        <v>473</v>
      </c>
      <c r="E146" s="12">
        <f>'Hazard &amp; Exposure'!O96</f>
        <v>8.8709734144997974</v>
      </c>
      <c r="F146" s="12">
        <f>'Hazard &amp; Exposure'!P96</f>
        <v>6.4157546675614521</v>
      </c>
      <c r="G146" s="159">
        <f>'Hazard &amp; Exposure'!Q96</f>
        <v>7.8679267240892408</v>
      </c>
      <c r="H146" s="12">
        <f>'Hazard &amp; Exposure'!W96</f>
        <v>10</v>
      </c>
      <c r="I146" s="12">
        <f>'Hazard &amp; Exposure'!T96</f>
        <v>9.4963814816019507</v>
      </c>
      <c r="J146" s="12">
        <f>'Hazard &amp; Exposure'!AA96</f>
        <v>10</v>
      </c>
      <c r="K146" s="12">
        <f t="shared" si="24"/>
        <v>9.2128123443723045</v>
      </c>
      <c r="L146" s="12">
        <f>Vulnerability!J96</f>
        <v>8.5160065079718521</v>
      </c>
      <c r="M146" s="12">
        <f>Vulnerability!O96</f>
        <v>10</v>
      </c>
      <c r="N146" s="12">
        <f t="shared" si="25"/>
        <v>9.0106710053145687</v>
      </c>
      <c r="O146" s="12">
        <f>Vulnerability!AA96</f>
        <v>4.6391886384658836</v>
      </c>
      <c r="P146" s="12">
        <f>Vulnerability!AG96</f>
        <v>9.0971725785924544</v>
      </c>
      <c r="Q146" s="12">
        <f t="shared" si="26"/>
        <v>7.5008404776081816</v>
      </c>
      <c r="R146" s="12">
        <f t="shared" si="27"/>
        <v>8.3573578121772645</v>
      </c>
      <c r="S146" s="12">
        <f>'Lack of Coping Capacity'!F96</f>
        <v>5.7696490037761592</v>
      </c>
      <c r="T146" s="12">
        <f>'Lack of Coping Capacity'!I96</f>
        <v>9.307685232162477</v>
      </c>
      <c r="U146" s="12">
        <f>'Lack of Coping Capacity'!J96</f>
        <v>7.5386671179693181</v>
      </c>
      <c r="V146" s="12">
        <f>'Lack of Coping Capacity'!M96</f>
        <v>7.3808660795689001</v>
      </c>
      <c r="W146" s="12">
        <f>'Lack of Coping Capacity'!S96</f>
        <v>9.7328859083892603</v>
      </c>
      <c r="X146" s="12">
        <f>'Lack of Coping Capacity'!U96</f>
        <v>8.5136604607862196</v>
      </c>
      <c r="Y146" s="12">
        <f>'Lack of Coping Capacity'!V96</f>
        <v>8.5424708162481267</v>
      </c>
      <c r="Z146" s="12">
        <f>'Lack of Coping Capacity'!AB96</f>
        <v>8.6335737116273936</v>
      </c>
      <c r="AA146" s="12">
        <f>'Lack of Coping Capacity'!AI96</f>
        <v>4.5195373333333331</v>
      </c>
      <c r="AB146" s="12" t="str">
        <f>'Lack of Coping Capacity'!AE96</f>
        <v>x</v>
      </c>
      <c r="AC146" s="12">
        <f>'Lack of Coping Capacity'!AJ96</f>
        <v>6.5765555224803638</v>
      </c>
      <c r="AD146" s="12">
        <f t="shared" si="28"/>
        <v>7.6458618194361119</v>
      </c>
      <c r="AE146" s="12">
        <f t="shared" si="29"/>
        <v>8.3810009297585264</v>
      </c>
    </row>
    <row r="147" spans="1:31" x14ac:dyDescent="0.25">
      <c r="A147" s="117" t="s">
        <v>467</v>
      </c>
      <c r="B147" s="115" t="s">
        <v>484</v>
      </c>
      <c r="C147" s="115" t="s">
        <v>578</v>
      </c>
      <c r="D147" s="93" t="s">
        <v>485</v>
      </c>
      <c r="E147" s="12">
        <f>'Hazard &amp; Exposure'!O102</f>
        <v>8.8304901778528251</v>
      </c>
      <c r="F147" s="12">
        <f>'Hazard &amp; Exposure'!P102</f>
        <v>6.5082721367314917</v>
      </c>
      <c r="G147" s="159">
        <f>'Hazard &amp; Exposure'!Q102</f>
        <v>7.8711526364717743</v>
      </c>
      <c r="H147" s="12">
        <f>'Hazard &amp; Exposure'!W102</f>
        <v>10</v>
      </c>
      <c r="I147" s="12">
        <f>'Hazard &amp; Exposure'!T102</f>
        <v>9.4963814816019507</v>
      </c>
      <c r="J147" s="12">
        <f>'Hazard &amp; Exposure'!AA102</f>
        <v>10</v>
      </c>
      <c r="K147" s="12">
        <f t="shared" si="24"/>
        <v>9.2137566738194447</v>
      </c>
      <c r="L147" s="12">
        <f>Vulnerability!J102</f>
        <v>9.573516388544661</v>
      </c>
      <c r="M147" s="12">
        <f>Vulnerability!O102</f>
        <v>10</v>
      </c>
      <c r="N147" s="12">
        <f t="shared" si="25"/>
        <v>9.7156775923631074</v>
      </c>
      <c r="O147" s="12">
        <f>Vulnerability!AA102</f>
        <v>3.3923713480817592</v>
      </c>
      <c r="P147" s="12">
        <f>Vulnerability!AG102</f>
        <v>6.6669122683781321</v>
      </c>
      <c r="Q147" s="12">
        <f t="shared" si="26"/>
        <v>5.2541823662643665</v>
      </c>
      <c r="R147" s="12">
        <f t="shared" si="27"/>
        <v>8.2522731150928301</v>
      </c>
      <c r="S147" s="12">
        <f>'Lack of Coping Capacity'!F102</f>
        <v>5.7696490037761592</v>
      </c>
      <c r="T147" s="12">
        <f>'Lack of Coping Capacity'!I102</f>
        <v>9.307685232162477</v>
      </c>
      <c r="U147" s="12">
        <f>'Lack of Coping Capacity'!J102</f>
        <v>7.5386671179693181</v>
      </c>
      <c r="V147" s="12">
        <f>'Lack of Coping Capacity'!M102</f>
        <v>7.3808660795689001</v>
      </c>
      <c r="W147" s="12">
        <f>'Lack of Coping Capacity'!S102</f>
        <v>9.7328859083892603</v>
      </c>
      <c r="X147" s="12">
        <f>'Lack of Coping Capacity'!U102</f>
        <v>8.5136604607862196</v>
      </c>
      <c r="Y147" s="12">
        <f>'Lack of Coping Capacity'!V102</f>
        <v>8.5424708162481267</v>
      </c>
      <c r="Z147" s="12">
        <f>'Lack of Coping Capacity'!AB102</f>
        <v>8.6335737116273936</v>
      </c>
      <c r="AA147" s="12">
        <f>'Lack of Coping Capacity'!AI102</f>
        <v>4.5195373333333331</v>
      </c>
      <c r="AB147" s="12" t="str">
        <f>'Lack of Coping Capacity'!AE102</f>
        <v>x</v>
      </c>
      <c r="AC147" s="12">
        <f>'Lack of Coping Capacity'!AJ102</f>
        <v>6.5765555224803638</v>
      </c>
      <c r="AD147" s="12">
        <f t="shared" si="28"/>
        <v>7.6458618194361119</v>
      </c>
      <c r="AE147" s="12">
        <f t="shared" si="29"/>
        <v>8.3460104761443166</v>
      </c>
    </row>
    <row r="148" spans="1:31" x14ac:dyDescent="0.25">
      <c r="A148" s="117" t="s">
        <v>467</v>
      </c>
      <c r="B148" s="115" t="s">
        <v>486</v>
      </c>
      <c r="C148" s="115" t="s">
        <v>578</v>
      </c>
      <c r="D148" s="93" t="s">
        <v>487</v>
      </c>
      <c r="E148" s="12">
        <f>'Hazard &amp; Exposure'!O103</f>
        <v>8.9044776966181267</v>
      </c>
      <c r="F148" s="12">
        <f>'Hazard &amp; Exposure'!P103</f>
        <v>6.6414147480905488</v>
      </c>
      <c r="G148" s="159">
        <f>'Hazard &amp; Exposure'!Q103</f>
        <v>7.9705727261715253</v>
      </c>
      <c r="H148" s="12">
        <f>'Hazard &amp; Exposure'!W103</f>
        <v>10</v>
      </c>
      <c r="I148" s="12">
        <f>'Hazard &amp; Exposure'!T103</f>
        <v>9.4963814816019507</v>
      </c>
      <c r="J148" s="12">
        <f>'Hazard &amp; Exposure'!AA103</f>
        <v>10</v>
      </c>
      <c r="K148" s="12">
        <f t="shared" si="24"/>
        <v>9.2430942229708251</v>
      </c>
      <c r="L148" s="12">
        <f>Vulnerability!J103</f>
        <v>9.573516388544661</v>
      </c>
      <c r="M148" s="12">
        <f>Vulnerability!O103</f>
        <v>10</v>
      </c>
      <c r="N148" s="12">
        <f t="shared" si="25"/>
        <v>9.7156775923631074</v>
      </c>
      <c r="O148" s="12">
        <f>Vulnerability!AA103</f>
        <v>4.3407483212444724</v>
      </c>
      <c r="P148" s="12">
        <f>Vulnerability!AG103</f>
        <v>4.7785285787681087</v>
      </c>
      <c r="Q148" s="12">
        <f t="shared" si="26"/>
        <v>4.5632961213046244</v>
      </c>
      <c r="R148" s="12">
        <f t="shared" si="27"/>
        <v>8.0883573150938783</v>
      </c>
      <c r="S148" s="12">
        <f>'Lack of Coping Capacity'!F103</f>
        <v>5.7696490037761592</v>
      </c>
      <c r="T148" s="12">
        <f>'Lack of Coping Capacity'!I103</f>
        <v>9.307685232162477</v>
      </c>
      <c r="U148" s="12">
        <f>'Lack of Coping Capacity'!J103</f>
        <v>7.5386671179693181</v>
      </c>
      <c r="V148" s="12">
        <f>'Lack of Coping Capacity'!M103</f>
        <v>7.3808660795689001</v>
      </c>
      <c r="W148" s="12">
        <f>'Lack of Coping Capacity'!S103</f>
        <v>9.7328859083892603</v>
      </c>
      <c r="X148" s="12">
        <f>'Lack of Coping Capacity'!U103</f>
        <v>8.5136604607862196</v>
      </c>
      <c r="Y148" s="12">
        <f>'Lack of Coping Capacity'!V103</f>
        <v>8.5424708162481267</v>
      </c>
      <c r="Z148" s="12">
        <f>'Lack of Coping Capacity'!AB103</f>
        <v>8.6335737116273936</v>
      </c>
      <c r="AA148" s="12">
        <f>'Lack of Coping Capacity'!AI103</f>
        <v>4.5195373333333331</v>
      </c>
      <c r="AB148" s="12" t="str">
        <f>'Lack of Coping Capacity'!AE103</f>
        <v>x</v>
      </c>
      <c r="AC148" s="12">
        <f>'Lack of Coping Capacity'!AJ103</f>
        <v>6.5765555224803638</v>
      </c>
      <c r="AD148" s="12">
        <f t="shared" si="28"/>
        <v>7.6458618194361119</v>
      </c>
      <c r="AE148" s="12">
        <f t="shared" si="29"/>
        <v>8.2991710922108552</v>
      </c>
    </row>
    <row r="149" spans="1:31" x14ac:dyDescent="0.25">
      <c r="A149" s="117" t="s">
        <v>525</v>
      </c>
      <c r="B149" s="115" t="s">
        <v>552</v>
      </c>
      <c r="C149" s="115" t="s">
        <v>579</v>
      </c>
      <c r="D149" s="93" t="s">
        <v>553</v>
      </c>
      <c r="E149" s="12">
        <f>'Hazard &amp; Exposure'!O135</f>
        <v>9.0271665117716235</v>
      </c>
      <c r="F149" s="12">
        <f>'Hazard &amp; Exposure'!P135</f>
        <v>6.8687232716748188</v>
      </c>
      <c r="G149" s="159">
        <f>'Hazard &amp; Exposure'!Q135</f>
        <v>8.1377458079072191</v>
      </c>
      <c r="H149" s="12">
        <f>'Hazard &amp; Exposure'!W135</f>
        <v>10</v>
      </c>
      <c r="I149" s="12">
        <f>'Hazard &amp; Exposure'!T135</f>
        <v>10</v>
      </c>
      <c r="J149" s="12">
        <f>'Hazard &amp; Exposure'!AA135</f>
        <v>10</v>
      </c>
      <c r="K149" s="12">
        <f t="shared" si="24"/>
        <v>9.2934920020065395</v>
      </c>
      <c r="L149" s="12">
        <f>Vulnerability!J135</f>
        <v>5.7919637560366866</v>
      </c>
      <c r="M149" s="12">
        <f>Vulnerability!O135</f>
        <v>5.472427492671776</v>
      </c>
      <c r="N149" s="12">
        <f t="shared" si="25"/>
        <v>5.6854516682483833</v>
      </c>
      <c r="O149" s="12">
        <f>Vulnerability!AA135</f>
        <v>6.7809249814248282</v>
      </c>
      <c r="P149" s="12">
        <f>Vulnerability!AG135</f>
        <v>7.3476067830898071</v>
      </c>
      <c r="Q149" s="12">
        <f t="shared" si="26"/>
        <v>7.0741971610482484</v>
      </c>
      <c r="R149" s="12">
        <f t="shared" si="27"/>
        <v>6.4310555245627166</v>
      </c>
      <c r="S149" s="12">
        <f>'Lack of Coping Capacity'!F135</f>
        <v>9.0741303159868121</v>
      </c>
      <c r="T149" s="12">
        <f>'Lack of Coping Capacity'!I135</f>
        <v>8.4814011573791497</v>
      </c>
      <c r="U149" s="12">
        <f>'Lack of Coping Capacity'!J135</f>
        <v>8.77776573668298</v>
      </c>
      <c r="V149" s="12">
        <f>'Lack of Coping Capacity'!M135</f>
        <v>4.0873843546619799</v>
      </c>
      <c r="W149" s="12">
        <f>'Lack of Coping Capacity'!S135</f>
        <v>6.9611111111111104</v>
      </c>
      <c r="X149" s="12">
        <f>'Lack of Coping Capacity'!U135</f>
        <v>7.313265781810947</v>
      </c>
      <c r="Y149" s="12">
        <f>'Lack of Coping Capacity'!V135</f>
        <v>6.1205870825280124</v>
      </c>
      <c r="Z149" s="12">
        <f>'Lack of Coping Capacity'!AB135</f>
        <v>8.3770804987890024</v>
      </c>
      <c r="AA149" s="12">
        <f>'Lack of Coping Capacity'!AI135</f>
        <v>5.1365251441479209</v>
      </c>
      <c r="AB149" s="12">
        <f>'Lack of Coping Capacity'!AE135</f>
        <v>9.69</v>
      </c>
      <c r="AC149" s="12">
        <f>'Lack of Coping Capacity'!AJ135</f>
        <v>7.7345352143123085</v>
      </c>
      <c r="AD149" s="12">
        <f t="shared" si="28"/>
        <v>7.7106806509985324</v>
      </c>
      <c r="AE149" s="12">
        <f t="shared" si="29"/>
        <v>7.724160720179766</v>
      </c>
    </row>
  </sheetData>
  <autoFilter ref="A3:AE3">
    <sortState ref="A4:AE149">
      <sortCondition ref="K3:K149"/>
    </sortState>
  </autoFilter>
  <sortState ref="A4:AE149">
    <sortCondition ref="A4:A149"/>
    <sortCondition ref="B4:B149"/>
  </sortState>
  <mergeCells count="1">
    <mergeCell ref="A1:AE1"/>
  </mergeCells>
  <conditionalFormatting sqref="J4:J149">
    <cfRule type="cellIs" dxfId="107" priority="2627" stopIfTrue="1" operator="between">
      <formula>QUARTILE($J$4:$J$149,3)</formula>
      <formula>10</formula>
    </cfRule>
    <cfRule type="cellIs" dxfId="106" priority="2628" stopIfTrue="1" operator="between">
      <formula>QUARTILE($J$4:$J$149,2)</formula>
      <formula>QUARTILE($J$4:$J$149,3)</formula>
    </cfRule>
    <cfRule type="cellIs" dxfId="105" priority="2629" stopIfTrue="1" operator="between">
      <formula>QUARTILE($J$4:$J$149,1)</formula>
      <formula>QUARTILE($J$4:$J$149,2)</formula>
    </cfRule>
    <cfRule type="cellIs" dxfId="104" priority="2630" stopIfTrue="1" operator="between">
      <formula>0</formula>
      <formula>QUARTILE($J$4:$J$149,1)</formula>
    </cfRule>
  </conditionalFormatting>
  <conditionalFormatting sqref="K4:K149">
    <cfRule type="cellIs" dxfId="103" priority="2631" stopIfTrue="1" operator="between">
      <formula>QUARTILE($K$4:$K$135,3)</formula>
      <formula>10</formula>
    </cfRule>
    <cfRule type="cellIs" dxfId="102" priority="2632" stopIfTrue="1" operator="between">
      <formula>QUARTILE($K$4:$K$135,2)</formula>
      <formula>QUARTILE($K$4:$K$135,3)</formula>
    </cfRule>
    <cfRule type="cellIs" dxfId="101" priority="2633" stopIfTrue="1" operator="between">
      <formula>QUARTILE($K$4:$K$135,1)</formula>
      <formula>QUARTILE($K$4:$K$135,2)</formula>
    </cfRule>
    <cfRule type="cellIs" dxfId="100" priority="2634" stopIfTrue="1" operator="between">
      <formula>0</formula>
      <formula>QUARTILE($K$4:$K$135,1)</formula>
    </cfRule>
  </conditionalFormatting>
  <conditionalFormatting sqref="R4:R149">
    <cfRule type="cellIs" dxfId="99" priority="2635" stopIfTrue="1" operator="between">
      <formula>QUARTILE($R$4:$R$149,3)</formula>
      <formula>10</formula>
    </cfRule>
    <cfRule type="cellIs" dxfId="98" priority="2636" stopIfTrue="1" operator="between">
      <formula>QUARTILE($R$4:$R$149,2)</formula>
      <formula>QUARTILE($R$4:$R$149,3)</formula>
    </cfRule>
    <cfRule type="cellIs" dxfId="97" priority="2637" stopIfTrue="1" operator="between">
      <formula>QUARTILE($R$4:$R$149,1)</formula>
      <formula>QUARTILE($R$4:$R$149,2)</formula>
    </cfRule>
    <cfRule type="cellIs" dxfId="96" priority="2638" stopIfTrue="1" operator="between">
      <formula>0</formula>
      <formula>QUARTILE($R$4:$R$149,1)</formula>
    </cfRule>
  </conditionalFormatting>
  <conditionalFormatting sqref="AD4:AD149">
    <cfRule type="cellIs" dxfId="95" priority="2639" stopIfTrue="1" operator="between">
      <formula>QUARTILE($AD$4:$AD$149,3)</formula>
      <formula>10</formula>
    </cfRule>
    <cfRule type="cellIs" dxfId="94" priority="2640" stopIfTrue="1" operator="between">
      <formula>QUARTILE($AD$4:$AD$149,2)</formula>
      <formula>QUARTILE($AD$4:$AD$149,3)</formula>
    </cfRule>
    <cfRule type="cellIs" dxfId="93" priority="2641" stopIfTrue="1" operator="between">
      <formula>QUARTILE($AD$4:$AD$149,1)</formula>
      <formula>QUARTILE($AD$4:$AD$149,2)</formula>
    </cfRule>
    <cfRule type="cellIs" dxfId="92" priority="2642" stopIfTrue="1" operator="between">
      <formula>0</formula>
      <formula>QUARTILE($AD$4:$AD$149,1)</formula>
    </cfRule>
  </conditionalFormatting>
  <conditionalFormatting sqref="S4:S149">
    <cfRule type="cellIs" dxfId="91" priority="2643" stopIfTrue="1" operator="between">
      <formula>QUARTILE($S$4:$S$149,3)</formula>
      <formula>10</formula>
    </cfRule>
    <cfRule type="cellIs" dxfId="90" priority="2644" stopIfTrue="1" operator="between">
      <formula>QUARTILE($S$4:$S$149,2)</formula>
      <formula>QUARTILE($S$4:$S$149,3)</formula>
    </cfRule>
    <cfRule type="cellIs" dxfId="89" priority="2645" stopIfTrue="1" operator="between">
      <formula>QUARTILE($S$4:$S$149,1)</formula>
      <formula>QUARTILE($S$4:$S$149,2)</formula>
    </cfRule>
    <cfRule type="cellIs" dxfId="88" priority="2646" stopIfTrue="1" operator="between">
      <formula>0</formula>
      <formula>QUARTILE($S$4:$S$149,1)</formula>
    </cfRule>
  </conditionalFormatting>
  <conditionalFormatting sqref="AE4:AE149">
    <cfRule type="cellIs" dxfId="87" priority="2647" stopIfTrue="1" operator="between">
      <formula>QUARTILE($AE$4:$AE$149,3)</formula>
      <formula>10</formula>
    </cfRule>
    <cfRule type="cellIs" dxfId="86" priority="2648" stopIfTrue="1" operator="between">
      <formula>QUARTILE($AE$4:$AE$149,2)</formula>
      <formula>QUARTILE($AE$4:$AE$149,3)</formula>
    </cfRule>
    <cfRule type="cellIs" dxfId="85" priority="2649" stopIfTrue="1" operator="between">
      <formula>QUARTILE($AE$4:$AE$149,1)</formula>
      <formula>QUARTILE($AE$4:$AE$149,2)</formula>
    </cfRule>
    <cfRule type="cellIs" dxfId="84" priority="2650" stopIfTrue="1" operator="between">
      <formula>0</formula>
      <formula>QUARTILE($AE$4:$AE$149,1)</formula>
    </cfRule>
  </conditionalFormatting>
  <conditionalFormatting sqref="N4:N149">
    <cfRule type="cellIs" dxfId="83" priority="2651" stopIfTrue="1" operator="between">
      <formula>QUARTILE($N$4:$N$149,3)</formula>
      <formula>10</formula>
    </cfRule>
    <cfRule type="cellIs" dxfId="82" priority="2652" stopIfTrue="1" operator="between">
      <formula>QUARTILE($N$4:$N$149,2)</formula>
      <formula>QUARTILE($N$4:$N$149,3)</formula>
    </cfRule>
    <cfRule type="cellIs" dxfId="81" priority="2653" stopIfTrue="1" operator="between">
      <formula>QUARTILE($N$4:$N$149,1)</formula>
      <formula>QUARTILE($N$4:$N$149,2)</formula>
    </cfRule>
    <cfRule type="cellIs" dxfId="80" priority="2654" stopIfTrue="1" operator="between">
      <formula>0</formula>
      <formula>QUARTILE($N$4:$N$149,1)</formula>
    </cfRule>
  </conditionalFormatting>
  <conditionalFormatting sqref="Q4:Q149">
    <cfRule type="cellIs" dxfId="79" priority="2656" stopIfTrue="1" operator="between">
      <formula>QUARTILE($Q$4:$Q$149,2)</formula>
      <formula>QUARTILE($Q$4:$Q$149,3)</formula>
    </cfRule>
  </conditionalFormatting>
  <conditionalFormatting sqref="T4:T149">
    <cfRule type="cellIs" dxfId="78" priority="2659" stopIfTrue="1" operator="between">
      <formula>QUARTILE($T$4:$T$149,3)</formula>
      <formula>10</formula>
    </cfRule>
    <cfRule type="cellIs" dxfId="77" priority="2660" stopIfTrue="1" operator="between">
      <formula>QUARTILE($T$4:$T$149,2)</formula>
      <formula>QUARTILE($T$4:$T$149,3)</formula>
    </cfRule>
    <cfRule type="cellIs" dxfId="76" priority="2661" stopIfTrue="1" operator="between">
      <formula>QUARTILE($T$4:$T$149,1)</formula>
      <formula>QUARTILE($T$4:$T$149,2)</formula>
    </cfRule>
    <cfRule type="cellIs" dxfId="75" priority="2662" stopIfTrue="1" operator="between">
      <formula>0</formula>
      <formula>QUARTILE($T$4:$T$149,1)</formula>
    </cfRule>
  </conditionalFormatting>
  <conditionalFormatting sqref="U4:U149">
    <cfRule type="cellIs" dxfId="74" priority="2663" stopIfTrue="1" operator="between">
      <formula>QUARTILE($U$4:$U$149,3)</formula>
      <formula>10</formula>
    </cfRule>
    <cfRule type="cellIs" dxfId="73" priority="2664" stopIfTrue="1" operator="between">
      <formula>QUARTILE($U$4:$U$149,2)</formula>
      <formula>QUARTILE($U$4:$U$149,3)</formula>
    </cfRule>
    <cfRule type="cellIs" dxfId="72" priority="2665" stopIfTrue="1" operator="between">
      <formula>QUARTILE($U$4:$U$149,1)</formula>
      <formula>QUARTILE($U$4:$U$149,2)</formula>
    </cfRule>
    <cfRule type="cellIs" dxfId="71" priority="2666" stopIfTrue="1" operator="between">
      <formula>0</formula>
      <formula>QUARTILE($U$4:$U$149,1)</formula>
    </cfRule>
  </conditionalFormatting>
  <conditionalFormatting sqref="V4:V149">
    <cfRule type="cellIs" dxfId="70" priority="2671" stopIfTrue="1" operator="between">
      <formula>QUARTILE($V$4:$V$149,3)</formula>
      <formula>10</formula>
    </cfRule>
    <cfRule type="cellIs" dxfId="69" priority="2672" stopIfTrue="1" operator="between">
      <formula>QUARTILE($V$4:$V$149,2)</formula>
      <formula>QUARTILE($V$4:$V$149,3)</formula>
    </cfRule>
    <cfRule type="cellIs" dxfId="68" priority="2673" stopIfTrue="1" operator="between">
      <formula>QUARTILE($V$4:$V$149,1)</formula>
      <formula>QUARTILE($V$4:$V$149,2)</formula>
    </cfRule>
    <cfRule type="cellIs" dxfId="67" priority="2674" stopIfTrue="1" operator="between">
      <formula>0</formula>
      <formula>QUARTILE($V$4:$V$149,1)</formula>
    </cfRule>
  </conditionalFormatting>
  <conditionalFormatting sqref="O4:O149">
    <cfRule type="cellIs" dxfId="66" priority="2699" stopIfTrue="1" operator="between">
      <formula>QUARTILE($O$4:$O$149,3)</formula>
      <formula>10</formula>
    </cfRule>
    <cfRule type="cellIs" dxfId="65" priority="2700" stopIfTrue="1" operator="between">
      <formula>QUARTILE($O$4:$O$149,2)</formula>
      <formula>QUARTILE($O$4:$O$149,3)</formula>
    </cfRule>
    <cfRule type="cellIs" dxfId="64" priority="2701" stopIfTrue="1" operator="between">
      <formula>QUARTILE($O$4:$O$149,1)</formula>
      <formula>QUARTILE($O$4:$O$149,2)</formula>
    </cfRule>
    <cfRule type="cellIs" dxfId="63" priority="2702" stopIfTrue="1" operator="between">
      <formula>0</formula>
      <formula>QUARTILE($O$4:$O$149,1)</formula>
    </cfRule>
  </conditionalFormatting>
  <conditionalFormatting sqref="M4:M149">
    <cfRule type="cellIs" dxfId="62" priority="2703" stopIfTrue="1" operator="between">
      <formula>QUARTILE($M$4:$M$149,3)</formula>
      <formula>10</formula>
    </cfRule>
    <cfRule type="cellIs" dxfId="61" priority="2704" stopIfTrue="1" operator="between">
      <formula>QUARTILE($M$4:$M$149,2)</formula>
      <formula>QUARTILE($M$4:$M$149,3)</formula>
    </cfRule>
    <cfRule type="cellIs" dxfId="60" priority="2705" stopIfTrue="1" operator="between">
      <formula>QUARTILE($M$4:$M$149,1)</formula>
      <formula>QUARTILE($M$4:$M$149,2)</formula>
    </cfRule>
    <cfRule type="cellIs" dxfId="59" priority="2706" stopIfTrue="1" operator="between">
      <formula>0</formula>
      <formula>QUARTILE($M$4:$M$149,1)</formula>
    </cfRule>
  </conditionalFormatting>
  <conditionalFormatting sqref="L4:L149">
    <cfRule type="cellIs" dxfId="58" priority="2711" stopIfTrue="1" operator="between">
      <formula>QUARTILE($L$4:$L$149,3)</formula>
      <formula>10</formula>
    </cfRule>
    <cfRule type="cellIs" dxfId="57" priority="2712" stopIfTrue="1" operator="between">
      <formula>QUARTILE($L$4:$L$149,2)</formula>
      <formula>QUARTILE($L$4:$L$149,3)</formula>
    </cfRule>
    <cfRule type="cellIs" dxfId="56" priority="2713" stopIfTrue="1" operator="between">
      <formula>QUARTILE($L$4:$L$149,1)</formula>
      <formula>QUARTILE($L$4:$L$149,2)</formula>
    </cfRule>
    <cfRule type="cellIs" dxfId="55" priority="2714" stopIfTrue="1" operator="between">
      <formula>0</formula>
      <formula>QUARTILE($L$4:$L$149,1)</formula>
    </cfRule>
  </conditionalFormatting>
  <conditionalFormatting sqref="G4:G149">
    <cfRule type="cellIs" dxfId="54" priority="57" stopIfTrue="1" operator="between">
      <formula>QUARTILE($G$4:$G$149,3)</formula>
      <formula>10</formula>
    </cfRule>
    <cfRule type="cellIs" dxfId="53" priority="58" stopIfTrue="1" operator="between">
      <formula>QUARTILE($G$4:$G$149,2)</formula>
      <formula>QUARTILE($G$4:$G$149,3)</formula>
    </cfRule>
    <cfRule type="cellIs" dxfId="52" priority="59" stopIfTrue="1" operator="between">
      <formula>QUARTILE($G$4:$G$149,1)</formula>
      <formula>QUARTILE($G$4:$G$149,2)</formula>
    </cfRule>
    <cfRule type="cellIs" dxfId="51" priority="60" stopIfTrue="1" operator="between">
      <formula>0</formula>
      <formula>QUARTILE($G$4:$G$149,1)</formula>
    </cfRule>
  </conditionalFormatting>
  <conditionalFormatting sqref="E4:E149">
    <cfRule type="cellIs" dxfId="50" priority="49" stopIfTrue="1" operator="between">
      <formula>QUARTILE($E$4:$E$149,3)</formula>
      <formula>10</formula>
    </cfRule>
    <cfRule type="cellIs" dxfId="49" priority="50" stopIfTrue="1" operator="between">
      <formula>QUARTILE($E$4:$E$149,2)</formula>
      <formula>QUARTILE($E$4:$E$149,3)</formula>
    </cfRule>
    <cfRule type="cellIs" dxfId="48" priority="51" stopIfTrue="1" operator="between">
      <formula>QUARTILE($E$4:$E$149,1)</formula>
      <formula>QUARTILE($E$4:$E$149,2)</formula>
    </cfRule>
    <cfRule type="cellIs" dxfId="47" priority="52" stopIfTrue="1" operator="between">
      <formula>0</formula>
      <formula>QUARTILE($E$4:$E$149,1)</formula>
    </cfRule>
  </conditionalFormatting>
  <conditionalFormatting sqref="F4:F149">
    <cfRule type="cellIs" dxfId="46" priority="45" stopIfTrue="1" operator="between">
      <formula>QUARTILE($F$4:$F$149,3)</formula>
      <formula>10</formula>
    </cfRule>
    <cfRule type="cellIs" dxfId="45" priority="46" stopIfTrue="1" operator="between">
      <formula>QUARTILE($F$4:$F$149,2)</formula>
      <formula>QUARTILE($F$4:$F$149,3)</formula>
    </cfRule>
    <cfRule type="cellIs" dxfId="44" priority="47" stopIfTrue="1" operator="between">
      <formula>QUARTILE($F$4:$F$149,1)</formula>
      <formula>QUARTILE($F$4:$F$149,2)</formula>
    </cfRule>
    <cfRule type="cellIs" dxfId="43" priority="48" stopIfTrue="1" operator="between">
      <formula>0</formula>
      <formula>QUARTILE($F$4:$F$149,1)</formula>
    </cfRule>
  </conditionalFormatting>
  <conditionalFormatting sqref="H4:H149">
    <cfRule type="cellIs" dxfId="42" priority="41" stopIfTrue="1" operator="between">
      <formula>QUARTILE($H$4:$H$149,3)</formula>
      <formula>10</formula>
    </cfRule>
    <cfRule type="cellIs" dxfId="41" priority="42" stopIfTrue="1" operator="between">
      <formula>QUARTILE($H$4:$H$149,2)</formula>
      <formula>QUARTILE($H$4:$H$149,3)</formula>
    </cfRule>
    <cfRule type="cellIs" dxfId="40" priority="43" stopIfTrue="1" operator="between">
      <formula>QUARTILE($H$4:$H$149,1)</formula>
      <formula>QUARTILE($H$4:$H$149,2)</formula>
    </cfRule>
    <cfRule type="cellIs" dxfId="39" priority="44" stopIfTrue="1" operator="between">
      <formula>0</formula>
      <formula>QUARTILE($H$4:$H$149,1)</formula>
    </cfRule>
  </conditionalFormatting>
  <conditionalFormatting sqref="I4:I149">
    <cfRule type="cellIs" dxfId="38" priority="37" stopIfTrue="1" operator="between">
      <formula>QUARTILE($I$4:$I$149,3)</formula>
      <formula>10</formula>
    </cfRule>
    <cfRule type="cellIs" dxfId="37" priority="38" stopIfTrue="1" operator="between">
      <formula>QUARTILE($I$4:$I$149,2)</formula>
      <formula>QUARTILE($I$4:$I$149,3)</formula>
    </cfRule>
    <cfRule type="cellIs" dxfId="36" priority="39" stopIfTrue="1" operator="between">
      <formula>QUARTILE($I$4:$I$149,1)</formula>
      <formula>QUARTILE($I$4:$I$149,2)</formula>
    </cfRule>
    <cfRule type="cellIs" dxfId="35" priority="40" stopIfTrue="1" operator="between">
      <formula>0</formula>
      <formula>QUARTILE($I$4:$I$149,1)</formula>
    </cfRule>
  </conditionalFormatting>
  <conditionalFormatting sqref="Q4:Q149">
    <cfRule type="cellIs" dxfId="34" priority="2655" stopIfTrue="1" operator="between">
      <formula>QUARTILE($Q$4:$Q$149,3)</formula>
      <formula>10</formula>
    </cfRule>
    <cfRule type="cellIs" dxfId="33" priority="2657" stopIfTrue="1" operator="between">
      <formula>QUARTILE($Q$4:$Q$149,1)</formula>
      <formula>QUARTILE($Q$4:$Q$149,2)</formula>
    </cfRule>
    <cfRule type="cellIs" dxfId="32" priority="2658" stopIfTrue="1" operator="between">
      <formula>0</formula>
      <formula>QUARTILE($Q$4:$Q$149,1)</formula>
    </cfRule>
  </conditionalFormatting>
  <conditionalFormatting sqref="P4:P149">
    <cfRule type="cellIs" dxfId="31" priority="17" stopIfTrue="1" operator="between">
      <formula>QUARTILE($P$4:$P$149,3)</formula>
      <formula>10</formula>
    </cfRule>
    <cfRule type="cellIs" dxfId="30" priority="18" stopIfTrue="1" operator="between">
      <formula>QUARTILE($P$4:$P$149,2)</formula>
      <formula>QUARTILE($P$4:$P$149,3)</formula>
    </cfRule>
    <cfRule type="cellIs" dxfId="29" priority="19" stopIfTrue="1" operator="between">
      <formula>QUARTILE($P$4:$P$149,1)</formula>
      <formula>QUARTILE($P$4:$P$149,2)</formula>
    </cfRule>
    <cfRule type="cellIs" dxfId="28" priority="20" stopIfTrue="1" operator="between">
      <formula>0</formula>
      <formula>QUARTILE($P$4:$P$149,1)</formula>
    </cfRule>
  </conditionalFormatting>
  <conditionalFormatting sqref="W4:W149">
    <cfRule type="cellIs" dxfId="27" priority="2675" stopIfTrue="1" operator="between">
      <formula>QUARTILE($W$4:$W$149,3)</formula>
      <formula>10</formula>
    </cfRule>
    <cfRule type="cellIs" dxfId="26" priority="2676" stopIfTrue="1" operator="between">
      <formula>QUARTILE($W$4:$W$149,2)</formula>
      <formula>QUARTILE($W$4:$W$149,3)</formula>
    </cfRule>
    <cfRule type="cellIs" dxfId="25" priority="2677" stopIfTrue="1" operator="between">
      <formula>QUARTILE($W$4:$W$149,1)</formula>
      <formula>QUARTILE($W$4:$W$149,2)</formula>
    </cfRule>
    <cfRule type="cellIs" dxfId="24" priority="2678" stopIfTrue="1" operator="between">
      <formula>0</formula>
      <formula>QUARTILE($W$4:$W$149,1)</formula>
    </cfRule>
  </conditionalFormatting>
  <conditionalFormatting sqref="X4:X149">
    <cfRule type="cellIs" dxfId="23" priority="13" stopIfTrue="1" operator="between">
      <formula>QUARTILE($X$4:$X$149,3)</formula>
      <formula>10</formula>
    </cfRule>
    <cfRule type="cellIs" dxfId="22" priority="14" stopIfTrue="1" operator="between">
      <formula>QUARTILE($X$4:$X$149,2)</formula>
      <formula>QUARTILE($X$4:$X$149,3)</formula>
    </cfRule>
    <cfRule type="cellIs" dxfId="21" priority="15" stopIfTrue="1" operator="between">
      <formula>QUARTILE($X$4:$X$149,1)</formula>
      <formula>QUARTILE($X$4:$X$149,2)</formula>
    </cfRule>
    <cfRule type="cellIs" dxfId="20" priority="16" stopIfTrue="1" operator="between">
      <formula>0</formula>
      <formula>QUARTILE($X$4:$X$149,1)</formula>
    </cfRule>
  </conditionalFormatting>
  <conditionalFormatting sqref="Y4:Y149">
    <cfRule type="cellIs" dxfId="19" priority="2667" stopIfTrue="1" operator="between">
      <formula>QUARTILE($Y$4:$Y$149,3)</formula>
      <formula>10</formula>
    </cfRule>
    <cfRule type="cellIs" dxfId="18" priority="2668" stopIfTrue="1" operator="between">
      <formula>QUARTILE($Y$4:$Y$149,2)</formula>
      <formula>QUARTILE($Y$4:$Y$149,3)</formula>
    </cfRule>
    <cfRule type="cellIs" dxfId="17" priority="2669" stopIfTrue="1" operator="between">
      <formula>QUARTILE($Y$4:$Y$149,1)</formula>
      <formula>QUARTILE($Y$4:$Y$149,2)</formula>
    </cfRule>
    <cfRule type="cellIs" dxfId="16" priority="2670" stopIfTrue="1" operator="between">
      <formula>0</formula>
      <formula>QUARTILE($Y$4:$Y$149,1)</formula>
    </cfRule>
  </conditionalFormatting>
  <conditionalFormatting sqref="AC4:AC149">
    <cfRule type="cellIs" dxfId="15" priority="9" stopIfTrue="1" operator="between">
      <formula>QUARTILE($AC$4:$AC$149,3)</formula>
      <formula>10</formula>
    </cfRule>
    <cfRule type="cellIs" dxfId="14" priority="10" stopIfTrue="1" operator="between">
      <formula>QUARTILE($AC$4:$AC$149,2)</formula>
      <formula>QUARTILE($AC$4:$AC$149,3)</formula>
    </cfRule>
    <cfRule type="cellIs" dxfId="13" priority="11" stopIfTrue="1" operator="between">
      <formula>QUARTILE($AC$4:$AC$149,1)</formula>
      <formula>QUARTILE($AC$4:$AC$149,2)</formula>
    </cfRule>
    <cfRule type="cellIs" dxfId="12" priority="12" stopIfTrue="1" operator="between">
      <formula>0</formula>
      <formula>QUARTILE($AC$4:$AC$149,1)</formula>
    </cfRule>
  </conditionalFormatting>
  <conditionalFormatting sqref="Z4:Z149">
    <cfRule type="cellIs" dxfId="11" priority="21" stopIfTrue="1" operator="between">
      <formula>QUARTILE($Z$4:$Z$149,3)</formula>
      <formula>10</formula>
    </cfRule>
    <cfRule type="cellIs" dxfId="10" priority="22" stopIfTrue="1" operator="between">
      <formula>QUARTILE($Z$4:$Z$149,2)</formula>
      <formula>QUARTILE($Z$4:$Z$149,3)</formula>
    </cfRule>
    <cfRule type="cellIs" dxfId="9" priority="23" stopIfTrue="1" operator="between">
      <formula>QUARTILE($Z$4:$Z$149,1)</formula>
      <formula>QUARTILE($Z$4:$Z$149,2)</formula>
    </cfRule>
    <cfRule type="cellIs" dxfId="8" priority="24" stopIfTrue="1" operator="between">
      <formula>0</formula>
      <formula>QUARTILE($Z$4:$Z$149,1)</formula>
    </cfRule>
  </conditionalFormatting>
  <conditionalFormatting sqref="AA4:AA149">
    <cfRule type="cellIs" dxfId="7" priority="5" stopIfTrue="1" operator="between">
      <formula>QUARTILE($AA$4:$AA$149,3)</formula>
      <formula>10</formula>
    </cfRule>
    <cfRule type="cellIs" dxfId="6" priority="6" stopIfTrue="1" operator="between">
      <formula>QUARTILE($AA$4:$AA$149,2)</formula>
      <formula>QUARTILE($AA$4:$AA$149,3)</formula>
    </cfRule>
    <cfRule type="cellIs" dxfId="5" priority="7" stopIfTrue="1" operator="between">
      <formula>QUARTILE($AA$4:$AA$149,1)</formula>
      <formula>QUARTILE($AA$4:$AA$149,2)</formula>
    </cfRule>
    <cfRule type="cellIs" dxfId="4" priority="8" stopIfTrue="1" operator="between">
      <formula>0</formula>
      <formula>QUARTILE($AA$4:$AA$149,1)</formula>
    </cfRule>
  </conditionalFormatting>
  <conditionalFormatting sqref="AB4:AB149">
    <cfRule type="cellIs" dxfId="3" priority="1" stopIfTrue="1" operator="between">
      <formula>QUARTILE($AB$4:$AB$149,3)</formula>
      <formula>10</formula>
    </cfRule>
    <cfRule type="cellIs" dxfId="2" priority="2" stopIfTrue="1" operator="between">
      <formula>QUARTILE($AB$4:$AB$149,2)</formula>
      <formula>QUARTILE($AB$4:$AB$149,3)</formula>
    </cfRule>
    <cfRule type="cellIs" dxfId="1" priority="3" stopIfTrue="1" operator="between">
      <formula>QUARTILE($AB$4:$AB$149,1)</formula>
      <formula>QUARTILE($AB$4:$AB$149,2)</formula>
    </cfRule>
    <cfRule type="cellIs" dxfId="0" priority="4" stopIfTrue="1" operator="between">
      <formula>0</formula>
      <formula>QUARTILE($AB$4:$AB$149,1)</formula>
    </cfRule>
  </conditionalFormatting>
  <pageMargins left="0.70866141732283472" right="0.70866141732283472" top="0.74803149606299213" bottom="0.74803149606299213" header="0.31496062992125984" footer="0.31496062992125984"/>
  <pageSetup paperSize="9" scale="52" fitToHeight="0" orientation="landscape"/>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2"/>
  <sheetViews>
    <sheetView showGridLines="0" workbookViewId="0">
      <pane xSplit="3" ySplit="2" topLeftCell="D134" activePane="bottomRight" state="frozen"/>
      <selection pane="topRight" activeCell="D1" sqref="D1"/>
      <selection pane="bottomLeft" activeCell="A3" sqref="A3"/>
      <selection pane="bottomRight" activeCell="E150" sqref="E150"/>
    </sheetView>
  </sheetViews>
  <sheetFormatPr defaultColWidth="8.85546875" defaultRowHeight="15" x14ac:dyDescent="0.25"/>
  <cols>
    <col min="1" max="1" width="49.42578125" style="8" bestFit="1" customWidth="1"/>
    <col min="2" max="3" width="8.85546875" style="8"/>
    <col min="4" max="7" width="11.7109375" style="25" customWidth="1"/>
    <col min="8" max="8" width="10.140625" style="26" customWidth="1"/>
    <col min="9" max="10" width="10.140625" style="27" customWidth="1"/>
    <col min="11" max="13" width="10.7109375" style="25" bestFit="1" customWidth="1"/>
    <col min="14" max="14" width="10.7109375" style="25" customWidth="1"/>
    <col min="15" max="16" width="11.7109375" style="25" customWidth="1"/>
    <col min="17" max="16384" width="8.85546875" style="8"/>
  </cols>
  <sheetData>
    <row r="1" spans="1:27" x14ac:dyDescent="0.25">
      <c r="A1" s="167"/>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row>
    <row r="2" spans="1:27" s="11" customFormat="1" ht="125.25" customHeight="1" thickBot="1" x14ac:dyDescent="0.3">
      <c r="A2" s="11" t="s">
        <v>14</v>
      </c>
      <c r="B2" s="162" t="s">
        <v>24</v>
      </c>
      <c r="C2" s="161" t="s">
        <v>271</v>
      </c>
      <c r="D2" s="29" t="s">
        <v>57</v>
      </c>
      <c r="E2" s="29" t="s">
        <v>684</v>
      </c>
      <c r="F2" s="29" t="s">
        <v>685</v>
      </c>
      <c r="G2" s="29" t="s">
        <v>686</v>
      </c>
      <c r="H2" s="53" t="s">
        <v>58</v>
      </c>
      <c r="I2" s="134" t="s">
        <v>687</v>
      </c>
      <c r="J2" s="134" t="s">
        <v>688</v>
      </c>
      <c r="K2" s="29" t="s">
        <v>58</v>
      </c>
      <c r="L2" s="29" t="s">
        <v>687</v>
      </c>
      <c r="M2" s="29" t="s">
        <v>688</v>
      </c>
      <c r="N2" s="29" t="s">
        <v>683</v>
      </c>
      <c r="O2" s="31" t="s">
        <v>59</v>
      </c>
      <c r="P2" s="31" t="s">
        <v>689</v>
      </c>
      <c r="Q2" s="32" t="s">
        <v>323</v>
      </c>
      <c r="R2" s="30" t="s">
        <v>599</v>
      </c>
      <c r="S2" s="30" t="s">
        <v>690</v>
      </c>
      <c r="T2" s="136" t="s">
        <v>691</v>
      </c>
      <c r="U2" s="31" t="s">
        <v>763</v>
      </c>
      <c r="V2" s="30" t="s">
        <v>272</v>
      </c>
      <c r="W2" s="31" t="s">
        <v>274</v>
      </c>
      <c r="X2" s="30" t="s">
        <v>61</v>
      </c>
      <c r="Y2" s="31" t="s">
        <v>62</v>
      </c>
      <c r="Z2" s="32" t="s">
        <v>692</v>
      </c>
      <c r="AA2" s="32" t="s">
        <v>701</v>
      </c>
    </row>
    <row r="3" spans="1:27" s="11" customFormat="1" x14ac:dyDescent="0.25">
      <c r="A3" s="16" t="s">
        <v>328</v>
      </c>
      <c r="B3" s="126" t="s">
        <v>572</v>
      </c>
      <c r="C3" s="16" t="s">
        <v>329</v>
      </c>
      <c r="D3" s="4">
        <f>IF(LOG(VLOOKUP($B3,'Indicator Data (national)'!$B$5:$H$14,2,FALSE))&gt;$D$151,10,IF(LOG(VLOOKUP($B3,'Indicator Data (national)'!$B$5:$H$14,2,FALSE))&lt;$D$152,0,10-($D$151-LOG(VLOOKUP($B3,'Indicator Data (national)'!$B$5:$H$14,2,FALSE)))/($D$151-$D$152)*10))</f>
        <v>2.8448721366355736</v>
      </c>
      <c r="E3" s="4">
        <f>IF(LOG(VLOOKUP($B3,'Indicator Data (national)'!$B$5:$H$14,3,FALSE))&gt;$E$151,10,IF(LOG(VLOOKUP($B3,'Indicator Data (national)'!$B$5:$H$14,3,FALSE))&lt;$E$152,0,10-($E$151-LOG(VLOOKUP($B3,'Indicator Data (national)'!$B$5:$H$14,3,FALSE)))/($E$151-$E$152)*10))</f>
        <v>2.9200972062146793</v>
      </c>
      <c r="F3" s="4">
        <f>IF(LOG(VLOOKUP($B3,'Indicator Data (national)'!$B$5:$H$14,3,FALSE))&gt;$F$151,10,IF(LOG(VLOOKUP($B3,'Indicator Data (national)'!$B$5:$H$14,3,FALSE))&lt;$F$152,0,10-($F$151-LOG(VLOOKUP($B3,'Indicator Data (national)'!$B$5:$H$14,3,FALSE)))/($F$151-$F$152)*10))</f>
        <v>2.9200972062146793</v>
      </c>
      <c r="G3" s="135">
        <f>IF(AND(E3="x",F3="x"),"x",(10-GEOMEAN(((10-E3)/10*9+1),((10-F3)/10*9+1)))/9*10)</f>
        <v>2.9200972062146784</v>
      </c>
      <c r="H3" s="54">
        <f>VLOOKUP($B3,'Indicator Data (national)'!$B$5:$C$14,2,FALSE)/VLOOKUP($B3,'Indicator Data (national)'!$B$5:$AM$14,38,FALSE)</f>
        <v>3.5758804990724754E-4</v>
      </c>
      <c r="I3" s="54">
        <f>VLOOKUP($B3,'Indicator Data (national)'!$B$5:$D$14,3,FALSE)/VLOOKUP($B3,'Indicator Data (national)'!$B$5:$AM$14,38,FALSE)</f>
        <v>1.2054082584930606E-2</v>
      </c>
      <c r="J3" s="54">
        <f>VLOOKUP($B3,'Indicator Data (national)'!$B$5:$D$14,3,FALSE)/VLOOKUP($B3,'Indicator Data (national)'!$B$5:$AM$14,38,FALSE)</f>
        <v>1.2054082584930606E-2</v>
      </c>
      <c r="K3" s="4">
        <f>IF(H3="x","x",IF(H3&gt;0.7%,10,IF(H3&lt;0,0,10-(0.7%-H3)/(0.7%-0)*10)))</f>
        <v>0.51084007129606768</v>
      </c>
      <c r="L3" s="4">
        <f>IF(I3="x","x",IF(I3&gt;3%,10,IF(I3&lt;0,0,10-(3%-I3)/(3%-0)*10)))</f>
        <v>4.0180275283102018</v>
      </c>
      <c r="M3" s="4">
        <f>IF(J3="x","x",IF(J3&gt;3%,10,IF(J3&lt;0,0,10-(3%-J3)/(3%-0)*10)))</f>
        <v>4.0180275283102018</v>
      </c>
      <c r="N3" s="135">
        <f>IF(AND(L3="x",M3="x"),"x",(10-GEOMEAN(((10-L3)/10*9+1),((10-M3)/10*9+1)))/9*10)</f>
        <v>4.0180275283102027</v>
      </c>
      <c r="O3" s="6">
        <f>IF(AND(D3="x",K3="x"),"x",(10-GEOMEAN(((10-D3)/10*9+1),((10-K3)/10*9+1)))/9*10)</f>
        <v>1.7503219558462924</v>
      </c>
      <c r="P3" s="6">
        <f t="shared" ref="P3:P34" si="0">IF(AND(G3="x",N3="x"),"x",(10-GEOMEAN(((10-G3)/10*9+1),((10-N3)/10*9+1)))/9*10)</f>
        <v>3.4888052752557401</v>
      </c>
      <c r="Q3" s="15">
        <f>IF(AND(O3="x",P3="x"),"x",(10-GEOMEAN(((10-O3)/10*9+1),((10-P3)/10*9+1)))/9*10)</f>
        <v>2.6641709665151581</v>
      </c>
      <c r="R3" s="4">
        <f>IF(VLOOKUP($B3,'Indicator Data (national)'!$B$5:$H$14,6,FALSE)="No data","x",IF(VLOOKUP($B3,'Indicator Data (national)'!$B$5:$H$14,6,FALSE)&gt;R$149,10,IF(VLOOKUP($B3,'Indicator Data (national)'!$B$5:$H$14,6,FALSE)&lt;R$150,0,10-(R$149-VLOOKUP($B3,'Indicator Data (national)'!$B$5:$H$14,6,FALSE))/(R$149-R$150)*10)))</f>
        <v>6.4139960241606166</v>
      </c>
      <c r="S3" s="4">
        <f>IF(VLOOKUP($B3,'Indicator Data (national)'!$B$5:$H$14,7,FALSE)="No data","x",IF(VLOOKUP($B3,'Indicator Data (national)'!$B$5:$H$14,7,FALSE)&gt;S$149,10,IF(VLOOKUP($B3,'Indicator Data (national)'!$B$5:$H$14,7,FALSE)&lt;S$150,0,10-(S$149-VLOOKUP($B3,'Indicator Data (national)'!$B$5:$H$14,7,FALSE))/(S$149-S$150)*10)))</f>
        <v>2.2414935119694768</v>
      </c>
      <c r="T3" s="137">
        <f>(10-GEOMEAN(((10-R3)/10*9+1),((10-S3)/10*9+1)))/9*10</f>
        <v>4.6565302075659556</v>
      </c>
      <c r="U3" s="6">
        <f>IF('Indicator Data'!G5=5,10,IF('Indicator Data'!G5=4,8,IF('Indicator Data'!G5=3,5,IF('Indicator Data'!G5=2,2,IF('Indicator Data'!G5=1,1,0)))))</f>
        <v>5</v>
      </c>
      <c r="V3" s="4">
        <f>IF('Indicator Data'!H5="No data","x",IF('Indicator Data'!H5&gt;1000,10,IF('Indicator Data'!H5&gt;=500,9,IF('Indicator Data'!H5&gt;=240,8,IF('Indicator Data'!H5&gt;=120,7,IF('Indicator Data'!H5&gt;=60,6,IF('Indicator Data'!H5&gt;=20,5,IF('Indicator Data'!H5&gt;=10,4,IF('Indicator Data'!H5&gt;=5,3,0)))))))))</f>
        <v>5</v>
      </c>
      <c r="W3" s="6">
        <f>IF(V3="x",U3,IF(V3&gt;U3,V3,U3))</f>
        <v>5</v>
      </c>
      <c r="X3" s="4">
        <f>IF('Indicator Data'!K5="No data","x",IF('Indicator Data'!K5&gt;X$149,0,IF('Indicator Data'!K5&lt;X$150,10,(X$149-'Indicator Data'!K5)/(X$149-X$150)*10)))</f>
        <v>3.9972670763118314</v>
      </c>
      <c r="Y3" s="6">
        <f>AVERAGE(U3,X3)</f>
        <v>4.4986335381559162</v>
      </c>
      <c r="Z3" s="7">
        <f>IF(W3="x",Y3,(Y3*0.66)+(W3*0.33))</f>
        <v>4.619098135182905</v>
      </c>
      <c r="AA3" s="139">
        <f>IF(W3&gt;=8,W3,AVERAGE(T3,W3))</f>
        <v>4.8282651037829778</v>
      </c>
    </row>
    <row r="4" spans="1:27" s="11" customFormat="1" x14ac:dyDescent="0.25">
      <c r="A4" s="16" t="s">
        <v>330</v>
      </c>
      <c r="B4" s="126" t="s">
        <v>572</v>
      </c>
      <c r="C4" s="16" t="s">
        <v>331</v>
      </c>
      <c r="D4" s="4">
        <f>IF(LOG(VLOOKUP($B4,'Indicator Data (national)'!$B$5:$H$14,2,FALSE))&gt;$D$151,10,IF(LOG(VLOOKUP($B4,'Indicator Data (national)'!$B$5:$H$14,2,FALSE))&lt;$D$152,0,10-($D$151-LOG(VLOOKUP($B4,'Indicator Data (national)'!$B$5:$H$14,2,FALSE)))/($D$151-$D$152)*10))</f>
        <v>2.8448721366355736</v>
      </c>
      <c r="E4" s="4">
        <f>IF(LOG(VLOOKUP($B4,'Indicator Data (national)'!$B$5:$H$14,3,FALSE))&gt;$E$151,10,IF(LOG(VLOOKUP($B4,'Indicator Data (national)'!$B$5:$H$14,3,FALSE))&lt;$E$152,0,10-($E$151-LOG(VLOOKUP($B4,'Indicator Data (national)'!$B$5:$H$14,3,FALSE)))/($E$151-$E$152)*10))</f>
        <v>2.9200972062146793</v>
      </c>
      <c r="F4" s="4">
        <f>IF(LOG(VLOOKUP($B4,'Indicator Data (national)'!$B$5:$H$14,3,FALSE))&gt;$F$151,10,IF(LOG(VLOOKUP($B4,'Indicator Data (national)'!$B$5:$H$14,3,FALSE))&lt;$F$152,0,10-($F$151-LOG(VLOOKUP($B4,'Indicator Data (national)'!$B$5:$H$14,3,FALSE)))/($F$151-$F$152)*10))</f>
        <v>2.9200972062146793</v>
      </c>
      <c r="G4" s="135">
        <f t="shared" ref="G4:G19" si="1">IF(AND(E4="x",F4="x"),"x",(10-GEOMEAN(((10-E4)/10*9+1),((10-F4)/10*9+1)))/9*10)</f>
        <v>2.9200972062146784</v>
      </c>
      <c r="H4" s="54">
        <f>VLOOKUP($B4,'Indicator Data (national)'!$B$5:$C$14,2,FALSE)/VLOOKUP($B4,'Indicator Data (national)'!$B$5:$AM$14,38,FALSE)</f>
        <v>3.5758804990724754E-4</v>
      </c>
      <c r="I4" s="54">
        <f>VLOOKUP($B4,'Indicator Data (national)'!$B$5:$D$14,3,FALSE)/VLOOKUP($B4,'Indicator Data (national)'!$B$5:$AM$14,38,FALSE)</f>
        <v>1.2054082584930606E-2</v>
      </c>
      <c r="J4" s="54">
        <f>VLOOKUP($B4,'Indicator Data (national)'!$B$5:$D$14,3,FALSE)/VLOOKUP($B4,'Indicator Data (national)'!$B$5:$AM$14,38,FALSE)</f>
        <v>1.2054082584930606E-2</v>
      </c>
      <c r="K4" s="4">
        <f t="shared" ref="K4:K19" si="2">IF(H4="x","x",IF(H4&gt;0.7%,10,IF(H4&lt;0,0,10-(0.7%-H4)/(0.7%-0)*10)))</f>
        <v>0.51084007129606768</v>
      </c>
      <c r="L4" s="4">
        <f t="shared" ref="L4:L19" si="3">IF(I4="x","x",IF(I4&gt;3%,10,IF(I4&lt;0,0,10-(3%-I4)/(3%-0)*10)))</f>
        <v>4.0180275283102018</v>
      </c>
      <c r="M4" s="4">
        <f t="shared" ref="M4:M19" si="4">IF(J4="x","x",IF(J4&gt;3%,10,IF(J4&lt;0,0,10-(3%-J4)/(3%-0)*10)))</f>
        <v>4.0180275283102018</v>
      </c>
      <c r="N4" s="135">
        <f t="shared" ref="N4:N19" si="5">IF(AND(L4="x",M4="x"),"x",(10-GEOMEAN(((10-L4)/10*9+1),((10-M4)/10*9+1)))/9*10)</f>
        <v>4.0180275283102027</v>
      </c>
      <c r="O4" s="6">
        <f t="shared" ref="O4:O34" si="6">IF(AND(D4="x",K4="x"),"x",(10-GEOMEAN(((10-D4)/10*9+1),((10-K4)/10*9+1)))/9*10)</f>
        <v>1.7503219558462924</v>
      </c>
      <c r="P4" s="6">
        <f t="shared" si="0"/>
        <v>3.4888052752557401</v>
      </c>
      <c r="Q4" s="15">
        <f t="shared" ref="Q4:Q67" si="7">IF(AND(O4="x",P4="x"),"x",(10-GEOMEAN(((10-O4)/10*9+1),((10-P4)/10*9+1)))/9*10)</f>
        <v>2.6641709665151581</v>
      </c>
      <c r="R4" s="4">
        <f>IF(VLOOKUP($B4,'Indicator Data (national)'!$B$5:$H$14,6,FALSE)="No data","x",IF(VLOOKUP($B4,'Indicator Data (national)'!$B$5:$H$14,6,FALSE)&gt;R$149,10,IF(VLOOKUP($B4,'Indicator Data (national)'!$B$5:$H$14,6,FALSE)&lt;R$150,0,10-(R$149-VLOOKUP($B4,'Indicator Data (national)'!$B$5:$H$14,6,FALSE))/(R$149-R$150)*10)))</f>
        <v>6.4139960241606166</v>
      </c>
      <c r="S4" s="4">
        <f>IF(VLOOKUP($B4,'Indicator Data (national)'!$B$5:$H$14,7,FALSE)="No data","x",IF(VLOOKUP($B4,'Indicator Data (national)'!$B$5:$H$14,7,FALSE)&gt;S$149,10,IF(VLOOKUP($B4,'Indicator Data (national)'!$B$5:$H$14,7,FALSE)&lt;S$150,0,10-(S$149-VLOOKUP($B4,'Indicator Data (national)'!$B$5:$H$14,7,FALSE))/(S$149-S$150)*10)))</f>
        <v>2.2414935119694768</v>
      </c>
      <c r="T4" s="138">
        <f t="shared" ref="T4:T67" si="8">(10-GEOMEAN(((10-R4)/10*9+1),((10-S4)/10*9+1)))/9*10</f>
        <v>4.6565302075659556</v>
      </c>
      <c r="U4" s="6">
        <f>IF('Indicator Data'!G6=5,10,IF('Indicator Data'!G6=4,8,IF('Indicator Data'!G6=3,5,IF('Indicator Data'!G6=2,2,IF('Indicator Data'!G6=1,1,0)))))</f>
        <v>5</v>
      </c>
      <c r="V4" s="4">
        <f>IF('Indicator Data'!H6="No data","x",IF('Indicator Data'!H6&gt;1000,10,IF('Indicator Data'!H6&gt;=500,9,IF('Indicator Data'!H6&gt;=240,8,IF('Indicator Data'!H6&gt;=120,7,IF('Indicator Data'!H6&gt;=60,6,IF('Indicator Data'!H6&gt;=20,5,IF('Indicator Data'!H6&gt;=10,4,IF('Indicator Data'!H6&gt;=5,3,0)))))))))</f>
        <v>4</v>
      </c>
      <c r="W4" s="6">
        <f t="shared" ref="W4:W67" si="9">IF(V4="x",U4,IF(V4&gt;U4,V4,U4))</f>
        <v>5</v>
      </c>
      <c r="X4" s="4">
        <f>IF('Indicator Data'!K6="No data","x",IF('Indicator Data'!K6&gt;X$149,0,IF('Indicator Data'!K6&lt;X$150,10,(X$149-'Indicator Data'!K6)/(X$149-X$150)*10)))</f>
        <v>3.9972670763118314</v>
      </c>
      <c r="Y4" s="6">
        <f t="shared" ref="Y4:Y67" si="10">AVERAGE(U4,X4)</f>
        <v>4.4986335381559162</v>
      </c>
      <c r="Z4" s="7">
        <f t="shared" ref="Z4:Z67" si="11">IF(W4="x",Y4,(Y4*0.66)+(W4*0.33))</f>
        <v>4.619098135182905</v>
      </c>
      <c r="AA4" s="139">
        <f t="shared" ref="AA4:AA67" si="12">IF(W4&gt;=8,W4,AVERAGE(T4,W4))</f>
        <v>4.8282651037829778</v>
      </c>
    </row>
    <row r="5" spans="1:27" s="11" customFormat="1" x14ac:dyDescent="0.25">
      <c r="A5" s="16" t="s">
        <v>332</v>
      </c>
      <c r="B5" s="126" t="s">
        <v>572</v>
      </c>
      <c r="C5" s="16" t="s">
        <v>333</v>
      </c>
      <c r="D5" s="4">
        <f>IF(LOG(VLOOKUP($B5,'Indicator Data (national)'!$B$5:$H$14,2,FALSE))&gt;$D$151,10,IF(LOG(VLOOKUP($B5,'Indicator Data (national)'!$B$5:$H$14,2,FALSE))&lt;$D$152,0,10-($D$151-LOG(VLOOKUP($B5,'Indicator Data (national)'!$B$5:$H$14,2,FALSE)))/($D$151-$D$152)*10))</f>
        <v>2.8448721366355736</v>
      </c>
      <c r="E5" s="4">
        <f>IF(LOG(VLOOKUP($B5,'Indicator Data (national)'!$B$5:$H$14,3,FALSE))&gt;$E$151,10,IF(LOG(VLOOKUP($B5,'Indicator Data (national)'!$B$5:$H$14,3,FALSE))&lt;$E$152,0,10-($E$151-LOG(VLOOKUP($B5,'Indicator Data (national)'!$B$5:$H$14,3,FALSE)))/($E$151-$E$152)*10))</f>
        <v>2.9200972062146793</v>
      </c>
      <c r="F5" s="4">
        <f>IF(LOG(VLOOKUP($B5,'Indicator Data (national)'!$B$5:$H$14,3,FALSE))&gt;$F$151,10,IF(LOG(VLOOKUP($B5,'Indicator Data (national)'!$B$5:$H$14,3,FALSE))&lt;$F$152,0,10-($F$151-LOG(VLOOKUP($B5,'Indicator Data (national)'!$B$5:$H$14,3,FALSE)))/($F$151-$F$152)*10))</f>
        <v>2.9200972062146793</v>
      </c>
      <c r="G5" s="135">
        <f t="shared" si="1"/>
        <v>2.9200972062146784</v>
      </c>
      <c r="H5" s="54">
        <f>VLOOKUP($B5,'Indicator Data (national)'!$B$5:$C$14,2,FALSE)/VLOOKUP($B5,'Indicator Data (national)'!$B$5:$AM$14,38,FALSE)</f>
        <v>3.5758804990724754E-4</v>
      </c>
      <c r="I5" s="54">
        <f>VLOOKUP($B5,'Indicator Data (national)'!$B$5:$D$14,3,FALSE)/VLOOKUP($B5,'Indicator Data (national)'!$B$5:$AM$14,38,FALSE)</f>
        <v>1.2054082584930606E-2</v>
      </c>
      <c r="J5" s="54">
        <f>VLOOKUP($B5,'Indicator Data (national)'!$B$5:$D$14,3,FALSE)/VLOOKUP($B5,'Indicator Data (national)'!$B$5:$AM$14,38,FALSE)</f>
        <v>1.2054082584930606E-2</v>
      </c>
      <c r="K5" s="4">
        <f t="shared" si="2"/>
        <v>0.51084007129606768</v>
      </c>
      <c r="L5" s="4">
        <f t="shared" si="3"/>
        <v>4.0180275283102018</v>
      </c>
      <c r="M5" s="4">
        <f t="shared" si="4"/>
        <v>4.0180275283102018</v>
      </c>
      <c r="N5" s="135">
        <f t="shared" si="5"/>
        <v>4.0180275283102027</v>
      </c>
      <c r="O5" s="6">
        <f t="shared" si="6"/>
        <v>1.7503219558462924</v>
      </c>
      <c r="P5" s="6">
        <f t="shared" si="0"/>
        <v>3.4888052752557401</v>
      </c>
      <c r="Q5" s="15">
        <f>IF(AND(O5="x",P5="x"),"x",(10-GEOMEAN(((10-O5)/10*9+1),((10-P5)/10*9+1)))/9*10)</f>
        <v>2.6641709665151581</v>
      </c>
      <c r="R5" s="4">
        <f>IF(VLOOKUP($B5,'Indicator Data (national)'!$B$5:$H$14,6,FALSE)="No data","x",IF(VLOOKUP($B5,'Indicator Data (national)'!$B$5:$H$14,6,FALSE)&gt;R$149,10,IF(VLOOKUP($B5,'Indicator Data (national)'!$B$5:$H$14,6,FALSE)&lt;R$150,0,10-(R$149-VLOOKUP($B5,'Indicator Data (national)'!$B$5:$H$14,6,FALSE))/(R$149-R$150)*10)))</f>
        <v>6.4139960241606166</v>
      </c>
      <c r="S5" s="4">
        <f>IF(VLOOKUP($B5,'Indicator Data (national)'!$B$5:$H$14,7,FALSE)="No data","x",IF(VLOOKUP($B5,'Indicator Data (national)'!$B$5:$H$14,7,FALSE)&gt;S$149,10,IF(VLOOKUP($B5,'Indicator Data (national)'!$B$5:$H$14,7,FALSE)&lt;S$150,0,10-(S$149-VLOOKUP($B5,'Indicator Data (national)'!$B$5:$H$14,7,FALSE))/(S$149-S$150)*10)))</f>
        <v>2.2414935119694768</v>
      </c>
      <c r="T5" s="138">
        <f t="shared" si="8"/>
        <v>4.6565302075659556</v>
      </c>
      <c r="U5" s="6">
        <f>IF('Indicator Data'!G7=5,10,IF('Indicator Data'!G7=4,8,IF('Indicator Data'!G7=3,5,IF('Indicator Data'!G7=2,2,IF('Indicator Data'!G7=1,1,0)))))</f>
        <v>5</v>
      </c>
      <c r="V5" s="4">
        <f>IF('Indicator Data'!H7="No data","x",IF('Indicator Data'!H7&gt;1000,10,IF('Indicator Data'!H7&gt;=500,9,IF('Indicator Data'!H7&gt;=240,8,IF('Indicator Data'!H7&gt;=120,7,IF('Indicator Data'!H7&gt;=60,6,IF('Indicator Data'!H7&gt;=20,5,IF('Indicator Data'!H7&gt;=10,4,IF('Indicator Data'!H7&gt;=5,3,0)))))))))</f>
        <v>3</v>
      </c>
      <c r="W5" s="6">
        <f t="shared" si="9"/>
        <v>5</v>
      </c>
      <c r="X5" s="4">
        <f>IF('Indicator Data'!K7="No data","x",IF('Indicator Data'!K7&gt;X$149,0,IF('Indicator Data'!K7&lt;X$150,10,(X$149-'Indicator Data'!K7)/(X$149-X$150)*10)))</f>
        <v>3.9972670763118314</v>
      </c>
      <c r="Y5" s="6">
        <f t="shared" si="10"/>
        <v>4.4986335381559162</v>
      </c>
      <c r="Z5" s="7">
        <f t="shared" si="11"/>
        <v>4.619098135182905</v>
      </c>
      <c r="AA5" s="139">
        <f t="shared" si="12"/>
        <v>4.8282651037829778</v>
      </c>
    </row>
    <row r="6" spans="1:27" s="11" customFormat="1" x14ac:dyDescent="0.25">
      <c r="A6" s="16" t="s">
        <v>334</v>
      </c>
      <c r="B6" s="126" t="s">
        <v>572</v>
      </c>
      <c r="C6" s="16" t="s">
        <v>335</v>
      </c>
      <c r="D6" s="4">
        <f>IF(LOG(VLOOKUP($B6,'Indicator Data (national)'!$B$5:$H$14,2,FALSE))&gt;$D$151,10,IF(LOG(VLOOKUP($B6,'Indicator Data (national)'!$B$5:$H$14,2,FALSE))&lt;$D$152,0,10-($D$151-LOG(VLOOKUP($B6,'Indicator Data (national)'!$B$5:$H$14,2,FALSE)))/($D$151-$D$152)*10))</f>
        <v>2.8448721366355736</v>
      </c>
      <c r="E6" s="4">
        <f>IF(LOG(VLOOKUP($B6,'Indicator Data (national)'!$B$5:$H$14,3,FALSE))&gt;$E$151,10,IF(LOG(VLOOKUP($B6,'Indicator Data (national)'!$B$5:$H$14,3,FALSE))&lt;$E$152,0,10-($E$151-LOG(VLOOKUP($B6,'Indicator Data (national)'!$B$5:$H$14,3,FALSE)))/($E$151-$E$152)*10))</f>
        <v>2.9200972062146793</v>
      </c>
      <c r="F6" s="4">
        <f>IF(LOG(VLOOKUP($B6,'Indicator Data (national)'!$B$5:$H$14,3,FALSE))&gt;$F$151,10,IF(LOG(VLOOKUP($B6,'Indicator Data (national)'!$B$5:$H$14,3,FALSE))&lt;$F$152,0,10-($F$151-LOG(VLOOKUP($B6,'Indicator Data (national)'!$B$5:$H$14,3,FALSE)))/($F$151-$F$152)*10))</f>
        <v>2.9200972062146793</v>
      </c>
      <c r="G6" s="135">
        <f t="shared" si="1"/>
        <v>2.9200972062146784</v>
      </c>
      <c r="H6" s="54">
        <f>VLOOKUP($B6,'Indicator Data (national)'!$B$5:$C$14,2,FALSE)/VLOOKUP($B6,'Indicator Data (national)'!$B$5:$AM$14,38,FALSE)</f>
        <v>3.5758804990724754E-4</v>
      </c>
      <c r="I6" s="54">
        <f>VLOOKUP($B6,'Indicator Data (national)'!$B$5:$D$14,3,FALSE)/VLOOKUP($B6,'Indicator Data (national)'!$B$5:$AM$14,38,FALSE)</f>
        <v>1.2054082584930606E-2</v>
      </c>
      <c r="J6" s="54">
        <f>VLOOKUP($B6,'Indicator Data (national)'!$B$5:$D$14,3,FALSE)/VLOOKUP($B6,'Indicator Data (national)'!$B$5:$AM$14,38,FALSE)</f>
        <v>1.2054082584930606E-2</v>
      </c>
      <c r="K6" s="4">
        <f t="shared" si="2"/>
        <v>0.51084007129606768</v>
      </c>
      <c r="L6" s="4">
        <f t="shared" si="3"/>
        <v>4.0180275283102018</v>
      </c>
      <c r="M6" s="4">
        <f t="shared" si="4"/>
        <v>4.0180275283102018</v>
      </c>
      <c r="N6" s="135">
        <f t="shared" si="5"/>
        <v>4.0180275283102027</v>
      </c>
      <c r="O6" s="6">
        <f t="shared" si="6"/>
        <v>1.7503219558462924</v>
      </c>
      <c r="P6" s="6">
        <f t="shared" si="0"/>
        <v>3.4888052752557401</v>
      </c>
      <c r="Q6" s="15">
        <f t="shared" si="7"/>
        <v>2.6641709665151581</v>
      </c>
      <c r="R6" s="4">
        <f>IF(VLOOKUP($B6,'Indicator Data (national)'!$B$5:$H$14,6,FALSE)="No data","x",IF(VLOOKUP($B6,'Indicator Data (national)'!$B$5:$H$14,6,FALSE)&gt;R$149,10,IF(VLOOKUP($B6,'Indicator Data (national)'!$B$5:$H$14,6,FALSE)&lt;R$150,0,10-(R$149-VLOOKUP($B6,'Indicator Data (national)'!$B$5:$H$14,6,FALSE))/(R$149-R$150)*10)))</f>
        <v>6.4139960241606166</v>
      </c>
      <c r="S6" s="4">
        <f>IF(VLOOKUP($B6,'Indicator Data (national)'!$B$5:$H$14,7,FALSE)="No data","x",IF(VLOOKUP($B6,'Indicator Data (national)'!$B$5:$H$14,7,FALSE)&gt;S$149,10,IF(VLOOKUP($B6,'Indicator Data (national)'!$B$5:$H$14,7,FALSE)&lt;S$150,0,10-(S$149-VLOOKUP($B6,'Indicator Data (national)'!$B$5:$H$14,7,FALSE))/(S$149-S$150)*10)))</f>
        <v>2.2414935119694768</v>
      </c>
      <c r="T6" s="138">
        <f t="shared" si="8"/>
        <v>4.6565302075659556</v>
      </c>
      <c r="U6" s="6">
        <f>IF('Indicator Data'!G8=5,10,IF('Indicator Data'!G8=4,8,IF('Indicator Data'!G8=3,5,IF('Indicator Data'!G8=2,2,IF('Indicator Data'!G8=1,1,0)))))</f>
        <v>0</v>
      </c>
      <c r="V6" s="4">
        <f>IF('Indicator Data'!H8="No data","x",IF('Indicator Data'!H8&gt;1000,10,IF('Indicator Data'!H8&gt;=500,9,IF('Indicator Data'!H8&gt;=240,8,IF('Indicator Data'!H8&gt;=120,7,IF('Indicator Data'!H8&gt;=60,6,IF('Indicator Data'!H8&gt;=20,5,IF('Indicator Data'!H8&gt;=10,4,IF('Indicator Data'!H8&gt;=5,3,0)))))))))</f>
        <v>0</v>
      </c>
      <c r="W6" s="6">
        <f t="shared" si="9"/>
        <v>0</v>
      </c>
      <c r="X6" s="4">
        <f>IF('Indicator Data'!K8="No data","x",IF('Indicator Data'!K8&gt;X$149,0,IF('Indicator Data'!K8&lt;X$150,10,(X$149-'Indicator Data'!K8)/(X$149-X$150)*10)))</f>
        <v>3.9972670763118314</v>
      </c>
      <c r="Y6" s="6">
        <f t="shared" si="10"/>
        <v>1.9986335381559157</v>
      </c>
      <c r="Z6" s="7">
        <f t="shared" si="11"/>
        <v>1.3190981351829045</v>
      </c>
      <c r="AA6" s="139">
        <f t="shared" si="12"/>
        <v>2.3282651037829778</v>
      </c>
    </row>
    <row r="7" spans="1:27" s="11" customFormat="1" x14ac:dyDescent="0.25">
      <c r="A7" s="16" t="s">
        <v>336</v>
      </c>
      <c r="B7" s="126" t="s">
        <v>572</v>
      </c>
      <c r="C7" s="16" t="s">
        <v>337</v>
      </c>
      <c r="D7" s="4">
        <f>IF(LOG(VLOOKUP($B7,'Indicator Data (national)'!$B$5:$H$14,2,FALSE))&gt;$D$151,10,IF(LOG(VLOOKUP($B7,'Indicator Data (national)'!$B$5:$H$14,2,FALSE))&lt;$D$152,0,10-($D$151-LOG(VLOOKUP($B7,'Indicator Data (national)'!$B$5:$H$14,2,FALSE)))/($D$151-$D$152)*10))</f>
        <v>2.8448721366355736</v>
      </c>
      <c r="E7" s="4">
        <f>IF(LOG(VLOOKUP($B7,'Indicator Data (national)'!$B$5:$H$14,3,FALSE))&gt;$E$151,10,IF(LOG(VLOOKUP($B7,'Indicator Data (national)'!$B$5:$H$14,3,FALSE))&lt;$E$152,0,10-($E$151-LOG(VLOOKUP($B7,'Indicator Data (national)'!$B$5:$H$14,3,FALSE)))/($E$151-$E$152)*10))</f>
        <v>2.9200972062146793</v>
      </c>
      <c r="F7" s="4">
        <f>IF(LOG(VLOOKUP($B7,'Indicator Data (national)'!$B$5:$H$14,3,FALSE))&gt;$F$151,10,IF(LOG(VLOOKUP($B7,'Indicator Data (national)'!$B$5:$H$14,3,FALSE))&lt;$F$152,0,10-($F$151-LOG(VLOOKUP($B7,'Indicator Data (national)'!$B$5:$H$14,3,FALSE)))/($F$151-$F$152)*10))</f>
        <v>2.9200972062146793</v>
      </c>
      <c r="G7" s="135">
        <f t="shared" si="1"/>
        <v>2.9200972062146784</v>
      </c>
      <c r="H7" s="54">
        <f>VLOOKUP($B7,'Indicator Data (national)'!$B$5:$C$14,2,FALSE)/VLOOKUP($B7,'Indicator Data (national)'!$B$5:$AM$14,38,FALSE)</f>
        <v>3.5758804990724754E-4</v>
      </c>
      <c r="I7" s="54">
        <f>VLOOKUP($B7,'Indicator Data (national)'!$B$5:$D$14,3,FALSE)/VLOOKUP($B7,'Indicator Data (national)'!$B$5:$AM$14,38,FALSE)</f>
        <v>1.2054082584930606E-2</v>
      </c>
      <c r="J7" s="54">
        <f>VLOOKUP($B7,'Indicator Data (national)'!$B$5:$D$14,3,FALSE)/VLOOKUP($B7,'Indicator Data (national)'!$B$5:$AM$14,38,FALSE)</f>
        <v>1.2054082584930606E-2</v>
      </c>
      <c r="K7" s="4">
        <f t="shared" si="2"/>
        <v>0.51084007129606768</v>
      </c>
      <c r="L7" s="4">
        <f t="shared" si="3"/>
        <v>4.0180275283102018</v>
      </c>
      <c r="M7" s="4">
        <f t="shared" si="4"/>
        <v>4.0180275283102018</v>
      </c>
      <c r="N7" s="135">
        <f t="shared" si="5"/>
        <v>4.0180275283102027</v>
      </c>
      <c r="O7" s="6">
        <f t="shared" si="6"/>
        <v>1.7503219558462924</v>
      </c>
      <c r="P7" s="6">
        <f t="shared" si="0"/>
        <v>3.4888052752557401</v>
      </c>
      <c r="Q7" s="15">
        <f t="shared" si="7"/>
        <v>2.6641709665151581</v>
      </c>
      <c r="R7" s="4">
        <f>IF(VLOOKUP($B7,'Indicator Data (national)'!$B$5:$H$14,6,FALSE)="No data","x",IF(VLOOKUP($B7,'Indicator Data (national)'!$B$5:$H$14,6,FALSE)&gt;R$149,10,IF(VLOOKUP($B7,'Indicator Data (national)'!$B$5:$H$14,6,FALSE)&lt;R$150,0,10-(R$149-VLOOKUP($B7,'Indicator Data (national)'!$B$5:$H$14,6,FALSE))/(R$149-R$150)*10)))</f>
        <v>6.4139960241606166</v>
      </c>
      <c r="S7" s="4">
        <f>IF(VLOOKUP($B7,'Indicator Data (national)'!$B$5:$H$14,7,FALSE)="No data","x",IF(VLOOKUP($B7,'Indicator Data (national)'!$B$5:$H$14,7,FALSE)&gt;S$149,10,IF(VLOOKUP($B7,'Indicator Data (national)'!$B$5:$H$14,7,FALSE)&lt;S$150,0,10-(S$149-VLOOKUP($B7,'Indicator Data (national)'!$B$5:$H$14,7,FALSE))/(S$149-S$150)*10)))</f>
        <v>2.2414935119694768</v>
      </c>
      <c r="T7" s="138">
        <f t="shared" si="8"/>
        <v>4.6565302075659556</v>
      </c>
      <c r="U7" s="6">
        <f>IF('Indicator Data'!G9=5,10,IF('Indicator Data'!G9=4,8,IF('Indicator Data'!G9=3,5,IF('Indicator Data'!G9=2,2,IF('Indicator Data'!G9=1,1,0)))))</f>
        <v>0</v>
      </c>
      <c r="V7" s="4">
        <f>IF('Indicator Data'!H9="No data","x",IF('Indicator Data'!H9&gt;1000,10,IF('Indicator Data'!H9&gt;=500,9,IF('Indicator Data'!H9&gt;=240,8,IF('Indicator Data'!H9&gt;=120,7,IF('Indicator Data'!H9&gt;=60,6,IF('Indicator Data'!H9&gt;=20,5,IF('Indicator Data'!H9&gt;=10,4,IF('Indicator Data'!H9&gt;=5,3,0)))))))))</f>
        <v>0</v>
      </c>
      <c r="W7" s="6">
        <f t="shared" si="9"/>
        <v>0</v>
      </c>
      <c r="X7" s="4">
        <f>IF('Indicator Data'!K9="No data","x",IF('Indicator Data'!K9&gt;X$149,0,IF('Indicator Data'!K9&lt;X$150,10,(X$149-'Indicator Data'!K9)/(X$149-X$150)*10)))</f>
        <v>3.9972670763118314</v>
      </c>
      <c r="Y7" s="6">
        <f>AVERAGE(U7,X7)</f>
        <v>1.9986335381559157</v>
      </c>
      <c r="Z7" s="7">
        <f>IF(W7="x",Y7,(Y7*0.66)+(W7*0.33))</f>
        <v>1.3190981351829045</v>
      </c>
      <c r="AA7" s="139">
        <f t="shared" si="12"/>
        <v>2.3282651037829778</v>
      </c>
    </row>
    <row r="8" spans="1:27" s="11" customFormat="1" x14ac:dyDescent="0.25">
      <c r="A8" s="16" t="s">
        <v>338</v>
      </c>
      <c r="B8" s="126" t="s">
        <v>572</v>
      </c>
      <c r="C8" s="16" t="s">
        <v>339</v>
      </c>
      <c r="D8" s="4">
        <f>IF(LOG(VLOOKUP($B8,'Indicator Data (national)'!$B$5:$H$14,2,FALSE))&gt;$D$151,10,IF(LOG(VLOOKUP($B8,'Indicator Data (national)'!$B$5:$H$14,2,FALSE))&lt;$D$152,0,10-($D$151-LOG(VLOOKUP($B8,'Indicator Data (national)'!$B$5:$H$14,2,FALSE)))/($D$151-$D$152)*10))</f>
        <v>2.8448721366355736</v>
      </c>
      <c r="E8" s="4">
        <f>IF(LOG(VLOOKUP($B8,'Indicator Data (national)'!$B$5:$H$14,3,FALSE))&gt;$E$151,10,IF(LOG(VLOOKUP($B8,'Indicator Data (national)'!$B$5:$H$14,3,FALSE))&lt;$E$152,0,10-($E$151-LOG(VLOOKUP($B8,'Indicator Data (national)'!$B$5:$H$14,3,FALSE)))/($E$151-$E$152)*10))</f>
        <v>2.9200972062146793</v>
      </c>
      <c r="F8" s="4">
        <f>IF(LOG(VLOOKUP($B8,'Indicator Data (national)'!$B$5:$H$14,3,FALSE))&gt;$F$151,10,IF(LOG(VLOOKUP($B8,'Indicator Data (national)'!$B$5:$H$14,3,FALSE))&lt;$F$152,0,10-($F$151-LOG(VLOOKUP($B8,'Indicator Data (national)'!$B$5:$H$14,3,FALSE)))/($F$151-$F$152)*10))</f>
        <v>2.9200972062146793</v>
      </c>
      <c r="G8" s="135">
        <f t="shared" si="1"/>
        <v>2.9200972062146784</v>
      </c>
      <c r="H8" s="54">
        <f>VLOOKUP($B8,'Indicator Data (national)'!$B$5:$C$14,2,FALSE)/VLOOKUP($B8,'Indicator Data (national)'!$B$5:$AM$14,38,FALSE)</f>
        <v>3.5758804990724754E-4</v>
      </c>
      <c r="I8" s="54">
        <f>VLOOKUP($B8,'Indicator Data (national)'!$B$5:$D$14,3,FALSE)/VLOOKUP($B8,'Indicator Data (national)'!$B$5:$AM$14,38,FALSE)</f>
        <v>1.2054082584930606E-2</v>
      </c>
      <c r="J8" s="54">
        <f>VLOOKUP($B8,'Indicator Data (national)'!$B$5:$D$14,3,FALSE)/VLOOKUP($B8,'Indicator Data (national)'!$B$5:$AM$14,38,FALSE)</f>
        <v>1.2054082584930606E-2</v>
      </c>
      <c r="K8" s="4">
        <f t="shared" si="2"/>
        <v>0.51084007129606768</v>
      </c>
      <c r="L8" s="4">
        <f t="shared" si="3"/>
        <v>4.0180275283102018</v>
      </c>
      <c r="M8" s="4">
        <f t="shared" si="4"/>
        <v>4.0180275283102018</v>
      </c>
      <c r="N8" s="135">
        <f t="shared" si="5"/>
        <v>4.0180275283102027</v>
      </c>
      <c r="O8" s="6">
        <f t="shared" si="6"/>
        <v>1.7503219558462924</v>
      </c>
      <c r="P8" s="6">
        <f t="shared" si="0"/>
        <v>3.4888052752557401</v>
      </c>
      <c r="Q8" s="15">
        <f t="shared" si="7"/>
        <v>2.6641709665151581</v>
      </c>
      <c r="R8" s="4">
        <f>IF(VLOOKUP($B8,'Indicator Data (national)'!$B$5:$H$14,6,FALSE)="No data","x",IF(VLOOKUP($B8,'Indicator Data (national)'!$B$5:$H$14,6,FALSE)&gt;R$149,10,IF(VLOOKUP($B8,'Indicator Data (national)'!$B$5:$H$14,6,FALSE)&lt;R$150,0,10-(R$149-VLOOKUP($B8,'Indicator Data (national)'!$B$5:$H$14,6,FALSE))/(R$149-R$150)*10)))</f>
        <v>6.4139960241606166</v>
      </c>
      <c r="S8" s="4">
        <f>IF(VLOOKUP($B8,'Indicator Data (national)'!$B$5:$H$14,7,FALSE)="No data","x",IF(VLOOKUP($B8,'Indicator Data (national)'!$B$5:$H$14,7,FALSE)&gt;S$149,10,IF(VLOOKUP($B8,'Indicator Data (national)'!$B$5:$H$14,7,FALSE)&lt;S$150,0,10-(S$149-VLOOKUP($B8,'Indicator Data (national)'!$B$5:$H$14,7,FALSE))/(S$149-S$150)*10)))</f>
        <v>2.2414935119694768</v>
      </c>
      <c r="T8" s="138">
        <f t="shared" si="8"/>
        <v>4.6565302075659556</v>
      </c>
      <c r="U8" s="6">
        <f>IF('Indicator Data'!G10=5,10,IF('Indicator Data'!G10=4,8,IF('Indicator Data'!G10=3,5,IF('Indicator Data'!G10=2,2,IF('Indicator Data'!G10=1,1,0)))))</f>
        <v>0</v>
      </c>
      <c r="V8" s="4">
        <f>IF('Indicator Data'!H10="No data","x",IF('Indicator Data'!H10&gt;1000,10,IF('Indicator Data'!H10&gt;=500,9,IF('Indicator Data'!H10&gt;=240,8,IF('Indicator Data'!H10&gt;=120,7,IF('Indicator Data'!H10&gt;=60,6,IF('Indicator Data'!H10&gt;=20,5,IF('Indicator Data'!H10&gt;=10,4,IF('Indicator Data'!H10&gt;=5,3,0)))))))))</f>
        <v>5</v>
      </c>
      <c r="W8" s="6">
        <f t="shared" si="9"/>
        <v>5</v>
      </c>
      <c r="X8" s="4">
        <f>IF('Indicator Data'!K10="No data","x",IF('Indicator Data'!K10&gt;X$149,0,IF('Indicator Data'!K10&lt;X$150,10,(X$149-'Indicator Data'!K10)/(X$149-X$150)*10)))</f>
        <v>3.9972670763118314</v>
      </c>
      <c r="Y8" s="6">
        <f t="shared" si="10"/>
        <v>1.9986335381559157</v>
      </c>
      <c r="Z8" s="7">
        <f t="shared" si="11"/>
        <v>2.9690981351829047</v>
      </c>
      <c r="AA8" s="139">
        <f t="shared" si="12"/>
        <v>4.8282651037829778</v>
      </c>
    </row>
    <row r="9" spans="1:27" s="11" customFormat="1" x14ac:dyDescent="0.25">
      <c r="A9" s="16" t="s">
        <v>340</v>
      </c>
      <c r="B9" s="126" t="s">
        <v>572</v>
      </c>
      <c r="C9" s="16" t="s">
        <v>341</v>
      </c>
      <c r="D9" s="4">
        <f>IF(LOG(VLOOKUP($B9,'Indicator Data (national)'!$B$5:$H$14,2,FALSE))&gt;$D$151,10,IF(LOG(VLOOKUP($B9,'Indicator Data (national)'!$B$5:$H$14,2,FALSE))&lt;$D$152,0,10-($D$151-LOG(VLOOKUP($B9,'Indicator Data (national)'!$B$5:$H$14,2,FALSE)))/($D$151-$D$152)*10))</f>
        <v>2.8448721366355736</v>
      </c>
      <c r="E9" s="4">
        <f>IF(LOG(VLOOKUP($B9,'Indicator Data (national)'!$B$5:$H$14,3,FALSE))&gt;$E$151,10,IF(LOG(VLOOKUP($B9,'Indicator Data (national)'!$B$5:$H$14,3,FALSE))&lt;$E$152,0,10-($E$151-LOG(VLOOKUP($B9,'Indicator Data (national)'!$B$5:$H$14,3,FALSE)))/($E$151-$E$152)*10))</f>
        <v>2.9200972062146793</v>
      </c>
      <c r="F9" s="4">
        <f>IF(LOG(VLOOKUP($B9,'Indicator Data (national)'!$B$5:$H$14,3,FALSE))&gt;$F$151,10,IF(LOG(VLOOKUP($B9,'Indicator Data (national)'!$B$5:$H$14,3,FALSE))&lt;$F$152,0,10-($F$151-LOG(VLOOKUP($B9,'Indicator Data (national)'!$B$5:$H$14,3,FALSE)))/($F$151-$F$152)*10))</f>
        <v>2.9200972062146793</v>
      </c>
      <c r="G9" s="135">
        <f t="shared" si="1"/>
        <v>2.9200972062146784</v>
      </c>
      <c r="H9" s="54">
        <f>VLOOKUP($B9,'Indicator Data (national)'!$B$5:$C$14,2,FALSE)/VLOOKUP($B9,'Indicator Data (national)'!$B$5:$AM$14,38,FALSE)</f>
        <v>3.5758804990724754E-4</v>
      </c>
      <c r="I9" s="54">
        <f>VLOOKUP($B9,'Indicator Data (national)'!$B$5:$D$14,3,FALSE)/VLOOKUP($B9,'Indicator Data (national)'!$B$5:$AM$14,38,FALSE)</f>
        <v>1.2054082584930606E-2</v>
      </c>
      <c r="J9" s="54">
        <f>VLOOKUP($B9,'Indicator Data (national)'!$B$5:$D$14,3,FALSE)/VLOOKUP($B9,'Indicator Data (national)'!$B$5:$AM$14,38,FALSE)</f>
        <v>1.2054082584930606E-2</v>
      </c>
      <c r="K9" s="4">
        <f t="shared" si="2"/>
        <v>0.51084007129606768</v>
      </c>
      <c r="L9" s="4">
        <f t="shared" si="3"/>
        <v>4.0180275283102018</v>
      </c>
      <c r="M9" s="4">
        <f t="shared" si="4"/>
        <v>4.0180275283102018</v>
      </c>
      <c r="N9" s="135">
        <f t="shared" si="5"/>
        <v>4.0180275283102027</v>
      </c>
      <c r="O9" s="6">
        <f t="shared" si="6"/>
        <v>1.7503219558462924</v>
      </c>
      <c r="P9" s="6">
        <f t="shared" si="0"/>
        <v>3.4888052752557401</v>
      </c>
      <c r="Q9" s="15">
        <f t="shared" si="7"/>
        <v>2.6641709665151581</v>
      </c>
      <c r="R9" s="4">
        <f>IF(VLOOKUP($B9,'Indicator Data (national)'!$B$5:$H$14,6,FALSE)="No data","x",IF(VLOOKUP($B9,'Indicator Data (national)'!$B$5:$H$14,6,FALSE)&gt;R$149,10,IF(VLOOKUP($B9,'Indicator Data (national)'!$B$5:$H$14,6,FALSE)&lt;R$150,0,10-(R$149-VLOOKUP($B9,'Indicator Data (national)'!$B$5:$H$14,6,FALSE))/(R$149-R$150)*10)))</f>
        <v>6.4139960241606166</v>
      </c>
      <c r="S9" s="4">
        <f>IF(VLOOKUP($B9,'Indicator Data (national)'!$B$5:$H$14,7,FALSE)="No data","x",IF(VLOOKUP($B9,'Indicator Data (national)'!$B$5:$H$14,7,FALSE)&gt;S$149,10,IF(VLOOKUP($B9,'Indicator Data (national)'!$B$5:$H$14,7,FALSE)&lt;S$150,0,10-(S$149-VLOOKUP($B9,'Indicator Data (national)'!$B$5:$H$14,7,FALSE))/(S$149-S$150)*10)))</f>
        <v>2.2414935119694768</v>
      </c>
      <c r="T9" s="138">
        <f t="shared" si="8"/>
        <v>4.6565302075659556</v>
      </c>
      <c r="U9" s="6">
        <f>IF('Indicator Data'!G11=5,10,IF('Indicator Data'!G11=4,8,IF('Indicator Data'!G11=3,5,IF('Indicator Data'!G11=2,2,IF('Indicator Data'!G11=1,1,0)))))</f>
        <v>0</v>
      </c>
      <c r="V9" s="4">
        <f>IF('Indicator Data'!H11="No data","x",IF('Indicator Data'!H11&gt;1000,10,IF('Indicator Data'!H11&gt;=500,9,IF('Indicator Data'!H11&gt;=240,8,IF('Indicator Data'!H11&gt;=120,7,IF('Indicator Data'!H11&gt;=60,6,IF('Indicator Data'!H11&gt;=20,5,IF('Indicator Data'!H11&gt;=10,4,IF('Indicator Data'!H11&gt;=5,3,0)))))))))</f>
        <v>0</v>
      </c>
      <c r="W9" s="6">
        <f t="shared" si="9"/>
        <v>0</v>
      </c>
      <c r="X9" s="4">
        <f>IF('Indicator Data'!K11="No data","x",IF('Indicator Data'!K11&gt;X$149,0,IF('Indicator Data'!K11&lt;X$150,10,(X$149-'Indicator Data'!K11)/(X$149-X$150)*10)))</f>
        <v>3.9972670763118314</v>
      </c>
      <c r="Y9" s="6">
        <f t="shared" si="10"/>
        <v>1.9986335381559157</v>
      </c>
      <c r="Z9" s="7">
        <f t="shared" si="11"/>
        <v>1.3190981351829045</v>
      </c>
      <c r="AA9" s="139">
        <f t="shared" si="12"/>
        <v>2.3282651037829778</v>
      </c>
    </row>
    <row r="10" spans="1:27" s="11" customFormat="1" x14ac:dyDescent="0.25">
      <c r="A10" s="16" t="s">
        <v>342</v>
      </c>
      <c r="B10" s="126" t="s">
        <v>572</v>
      </c>
      <c r="C10" s="16" t="s">
        <v>343</v>
      </c>
      <c r="D10" s="4">
        <f>IF(LOG(VLOOKUP($B10,'Indicator Data (national)'!$B$5:$H$14,2,FALSE))&gt;$D$151,10,IF(LOG(VLOOKUP($B10,'Indicator Data (national)'!$B$5:$H$14,2,FALSE))&lt;$D$152,0,10-($D$151-LOG(VLOOKUP($B10,'Indicator Data (national)'!$B$5:$H$14,2,FALSE)))/($D$151-$D$152)*10))</f>
        <v>2.8448721366355736</v>
      </c>
      <c r="E10" s="4">
        <f>IF(LOG(VLOOKUP($B10,'Indicator Data (national)'!$B$5:$H$14,3,FALSE))&gt;$E$151,10,IF(LOG(VLOOKUP($B10,'Indicator Data (national)'!$B$5:$H$14,3,FALSE))&lt;$E$152,0,10-($E$151-LOG(VLOOKUP($B10,'Indicator Data (national)'!$B$5:$H$14,3,FALSE)))/($E$151-$E$152)*10))</f>
        <v>2.9200972062146793</v>
      </c>
      <c r="F10" s="4">
        <f>IF(LOG(VLOOKUP($B10,'Indicator Data (national)'!$B$5:$H$14,3,FALSE))&gt;$F$151,10,IF(LOG(VLOOKUP($B10,'Indicator Data (national)'!$B$5:$H$14,3,FALSE))&lt;$F$152,0,10-($F$151-LOG(VLOOKUP($B10,'Indicator Data (national)'!$B$5:$H$14,3,FALSE)))/($F$151-$F$152)*10))</f>
        <v>2.9200972062146793</v>
      </c>
      <c r="G10" s="135">
        <f t="shared" si="1"/>
        <v>2.9200972062146784</v>
      </c>
      <c r="H10" s="54">
        <f>VLOOKUP($B10,'Indicator Data (national)'!$B$5:$C$14,2,FALSE)/VLOOKUP($B10,'Indicator Data (national)'!$B$5:$AM$14,38,FALSE)</f>
        <v>3.5758804990724754E-4</v>
      </c>
      <c r="I10" s="54">
        <f>VLOOKUP($B10,'Indicator Data (national)'!$B$5:$D$14,3,FALSE)/VLOOKUP($B10,'Indicator Data (national)'!$B$5:$AM$14,38,FALSE)</f>
        <v>1.2054082584930606E-2</v>
      </c>
      <c r="J10" s="54">
        <f>VLOOKUP($B10,'Indicator Data (national)'!$B$5:$D$14,3,FALSE)/VLOOKUP($B10,'Indicator Data (national)'!$B$5:$AM$14,38,FALSE)</f>
        <v>1.2054082584930606E-2</v>
      </c>
      <c r="K10" s="4">
        <f t="shared" si="2"/>
        <v>0.51084007129606768</v>
      </c>
      <c r="L10" s="4">
        <f t="shared" si="3"/>
        <v>4.0180275283102018</v>
      </c>
      <c r="M10" s="4">
        <f t="shared" si="4"/>
        <v>4.0180275283102018</v>
      </c>
      <c r="N10" s="135">
        <f t="shared" si="5"/>
        <v>4.0180275283102027</v>
      </c>
      <c r="O10" s="6">
        <f t="shared" si="6"/>
        <v>1.7503219558462924</v>
      </c>
      <c r="P10" s="6">
        <f t="shared" si="0"/>
        <v>3.4888052752557401</v>
      </c>
      <c r="Q10" s="15">
        <f t="shared" si="7"/>
        <v>2.6641709665151581</v>
      </c>
      <c r="R10" s="4">
        <f>IF(VLOOKUP($B10,'Indicator Data (national)'!$B$5:$H$14,6,FALSE)="No data","x",IF(VLOOKUP($B10,'Indicator Data (national)'!$B$5:$H$14,6,FALSE)&gt;R$149,10,IF(VLOOKUP($B10,'Indicator Data (national)'!$B$5:$H$14,6,FALSE)&lt;R$150,0,10-(R$149-VLOOKUP($B10,'Indicator Data (national)'!$B$5:$H$14,6,FALSE))/(R$149-R$150)*10)))</f>
        <v>6.4139960241606166</v>
      </c>
      <c r="S10" s="4">
        <f>IF(VLOOKUP($B10,'Indicator Data (national)'!$B$5:$H$14,7,FALSE)="No data","x",IF(VLOOKUP($B10,'Indicator Data (national)'!$B$5:$H$14,7,FALSE)&gt;S$149,10,IF(VLOOKUP($B10,'Indicator Data (national)'!$B$5:$H$14,7,FALSE)&lt;S$150,0,10-(S$149-VLOOKUP($B10,'Indicator Data (national)'!$B$5:$H$14,7,FALSE))/(S$149-S$150)*10)))</f>
        <v>2.2414935119694768</v>
      </c>
      <c r="T10" s="138">
        <f t="shared" si="8"/>
        <v>4.6565302075659556</v>
      </c>
      <c r="U10" s="6">
        <f>IF('Indicator Data'!G12=5,10,IF('Indicator Data'!G12=4,8,IF('Indicator Data'!G12=3,5,IF('Indicator Data'!G12=2,2,IF('Indicator Data'!G12=1,1,0)))))</f>
        <v>0</v>
      </c>
      <c r="V10" s="4">
        <f>IF('Indicator Data'!H12="No data","x",IF('Indicator Data'!H12&gt;1000,10,IF('Indicator Data'!H12&gt;=500,9,IF('Indicator Data'!H12&gt;=240,8,IF('Indicator Data'!H12&gt;=120,7,IF('Indicator Data'!H12&gt;=60,6,IF('Indicator Data'!H12&gt;=20,5,IF('Indicator Data'!H12&gt;=10,4,IF('Indicator Data'!H12&gt;=5,3,0)))))))))</f>
        <v>0</v>
      </c>
      <c r="W10" s="6">
        <f t="shared" si="9"/>
        <v>0</v>
      </c>
      <c r="X10" s="4">
        <f>IF('Indicator Data'!K12="No data","x",IF('Indicator Data'!K12&gt;X$149,0,IF('Indicator Data'!K12&lt;X$150,10,(X$149-'Indicator Data'!K12)/(X$149-X$150)*10)))</f>
        <v>3.9972670763118314</v>
      </c>
      <c r="Y10" s="6">
        <f t="shared" si="10"/>
        <v>1.9986335381559157</v>
      </c>
      <c r="Z10" s="7">
        <f t="shared" si="11"/>
        <v>1.3190981351829045</v>
      </c>
      <c r="AA10" s="139">
        <f t="shared" si="12"/>
        <v>2.3282651037829778</v>
      </c>
    </row>
    <row r="11" spans="1:27" s="11" customFormat="1" x14ac:dyDescent="0.25">
      <c r="A11" s="16" t="s">
        <v>344</v>
      </c>
      <c r="B11" s="126" t="s">
        <v>572</v>
      </c>
      <c r="C11" s="16" t="s">
        <v>345</v>
      </c>
      <c r="D11" s="4">
        <f>IF(LOG(VLOOKUP($B11,'Indicator Data (national)'!$B$5:$H$14,2,FALSE))&gt;$D$151,10,IF(LOG(VLOOKUP($B11,'Indicator Data (national)'!$B$5:$H$14,2,FALSE))&lt;$D$152,0,10-($D$151-LOG(VLOOKUP($B11,'Indicator Data (national)'!$B$5:$H$14,2,FALSE)))/($D$151-$D$152)*10))</f>
        <v>2.8448721366355736</v>
      </c>
      <c r="E11" s="4">
        <f>IF(LOG(VLOOKUP($B11,'Indicator Data (national)'!$B$5:$H$14,3,FALSE))&gt;$E$151,10,IF(LOG(VLOOKUP($B11,'Indicator Data (national)'!$B$5:$H$14,3,FALSE))&lt;$E$152,0,10-($E$151-LOG(VLOOKUP($B11,'Indicator Data (national)'!$B$5:$H$14,3,FALSE)))/($E$151-$E$152)*10))</f>
        <v>2.9200972062146793</v>
      </c>
      <c r="F11" s="4">
        <f>IF(LOG(VLOOKUP($B11,'Indicator Data (national)'!$B$5:$H$14,3,FALSE))&gt;$F$151,10,IF(LOG(VLOOKUP($B11,'Indicator Data (national)'!$B$5:$H$14,3,FALSE))&lt;$F$152,0,10-($F$151-LOG(VLOOKUP($B11,'Indicator Data (national)'!$B$5:$H$14,3,FALSE)))/($F$151-$F$152)*10))</f>
        <v>2.9200972062146793</v>
      </c>
      <c r="G11" s="135">
        <f t="shared" si="1"/>
        <v>2.9200972062146784</v>
      </c>
      <c r="H11" s="54">
        <f>VLOOKUP($B11,'Indicator Data (national)'!$B$5:$C$14,2,FALSE)/VLOOKUP($B11,'Indicator Data (national)'!$B$5:$AM$14,38,FALSE)</f>
        <v>3.5758804990724754E-4</v>
      </c>
      <c r="I11" s="54">
        <f>VLOOKUP($B11,'Indicator Data (national)'!$B$5:$D$14,3,FALSE)/VLOOKUP($B11,'Indicator Data (national)'!$B$5:$AM$14,38,FALSE)</f>
        <v>1.2054082584930606E-2</v>
      </c>
      <c r="J11" s="54">
        <f>VLOOKUP($B11,'Indicator Data (national)'!$B$5:$D$14,3,FALSE)/VLOOKUP($B11,'Indicator Data (national)'!$B$5:$AM$14,38,FALSE)</f>
        <v>1.2054082584930606E-2</v>
      </c>
      <c r="K11" s="4">
        <f t="shared" si="2"/>
        <v>0.51084007129606768</v>
      </c>
      <c r="L11" s="4">
        <f t="shared" si="3"/>
        <v>4.0180275283102018</v>
      </c>
      <c r="M11" s="4">
        <f t="shared" si="4"/>
        <v>4.0180275283102018</v>
      </c>
      <c r="N11" s="135">
        <f t="shared" si="5"/>
        <v>4.0180275283102027</v>
      </c>
      <c r="O11" s="6">
        <f t="shared" si="6"/>
        <v>1.7503219558462924</v>
      </c>
      <c r="P11" s="6">
        <f t="shared" si="0"/>
        <v>3.4888052752557401</v>
      </c>
      <c r="Q11" s="15">
        <f t="shared" si="7"/>
        <v>2.6641709665151581</v>
      </c>
      <c r="R11" s="4">
        <f>IF(VLOOKUP($B11,'Indicator Data (national)'!$B$5:$H$14,6,FALSE)="No data","x",IF(VLOOKUP($B11,'Indicator Data (national)'!$B$5:$H$14,6,FALSE)&gt;R$149,10,IF(VLOOKUP($B11,'Indicator Data (national)'!$B$5:$H$14,6,FALSE)&lt;R$150,0,10-(R$149-VLOOKUP($B11,'Indicator Data (national)'!$B$5:$H$14,6,FALSE))/(R$149-R$150)*10)))</f>
        <v>6.4139960241606166</v>
      </c>
      <c r="S11" s="4">
        <f>IF(VLOOKUP($B11,'Indicator Data (national)'!$B$5:$H$14,7,FALSE)="No data","x",IF(VLOOKUP($B11,'Indicator Data (national)'!$B$5:$H$14,7,FALSE)&gt;S$149,10,IF(VLOOKUP($B11,'Indicator Data (national)'!$B$5:$H$14,7,FALSE)&lt;S$150,0,10-(S$149-VLOOKUP($B11,'Indicator Data (national)'!$B$5:$H$14,7,FALSE))/(S$149-S$150)*10)))</f>
        <v>2.2414935119694768</v>
      </c>
      <c r="T11" s="138">
        <f t="shared" si="8"/>
        <v>4.6565302075659556</v>
      </c>
      <c r="U11" s="6">
        <f>IF('Indicator Data'!G13=5,10,IF('Indicator Data'!G13=4,8,IF('Indicator Data'!G13=3,5,IF('Indicator Data'!G13=2,2,IF('Indicator Data'!G13=1,1,0)))))</f>
        <v>0</v>
      </c>
      <c r="V11" s="4">
        <f>IF('Indicator Data'!H13="No data","x",IF('Indicator Data'!H13&gt;1000,10,IF('Indicator Data'!H13&gt;=500,9,IF('Indicator Data'!H13&gt;=240,8,IF('Indicator Data'!H13&gt;=120,7,IF('Indicator Data'!H13&gt;=60,6,IF('Indicator Data'!H13&gt;=20,5,IF('Indicator Data'!H13&gt;=10,4,IF('Indicator Data'!H13&gt;=5,3,0)))))))))</f>
        <v>4</v>
      </c>
      <c r="W11" s="6">
        <f t="shared" si="9"/>
        <v>4</v>
      </c>
      <c r="X11" s="4">
        <f>IF('Indicator Data'!K13="No data","x",IF('Indicator Data'!K13&gt;X$149,0,IF('Indicator Data'!K13&lt;X$150,10,(X$149-'Indicator Data'!K13)/(X$149-X$150)*10)))</f>
        <v>3.9972670763118314</v>
      </c>
      <c r="Y11" s="6">
        <f t="shared" si="10"/>
        <v>1.9986335381559157</v>
      </c>
      <c r="Z11" s="7">
        <f t="shared" si="11"/>
        <v>2.6390981351829046</v>
      </c>
      <c r="AA11" s="139">
        <f t="shared" si="12"/>
        <v>4.3282651037829778</v>
      </c>
    </row>
    <row r="12" spans="1:27" s="11" customFormat="1" x14ac:dyDescent="0.25">
      <c r="A12" s="16" t="s">
        <v>346</v>
      </c>
      <c r="B12" s="126" t="s">
        <v>572</v>
      </c>
      <c r="C12" s="16" t="s">
        <v>347</v>
      </c>
      <c r="D12" s="4">
        <f>IF(LOG(VLOOKUP($B12,'Indicator Data (national)'!$B$5:$H$14,2,FALSE))&gt;$D$151,10,IF(LOG(VLOOKUP($B12,'Indicator Data (national)'!$B$5:$H$14,2,FALSE))&lt;$D$152,0,10-($D$151-LOG(VLOOKUP($B12,'Indicator Data (national)'!$B$5:$H$14,2,FALSE)))/($D$151-$D$152)*10))</f>
        <v>2.8448721366355736</v>
      </c>
      <c r="E12" s="4">
        <f>IF(LOG(VLOOKUP($B12,'Indicator Data (national)'!$B$5:$H$14,3,FALSE))&gt;$E$151,10,IF(LOG(VLOOKUP($B12,'Indicator Data (national)'!$B$5:$H$14,3,FALSE))&lt;$E$152,0,10-($E$151-LOG(VLOOKUP($B12,'Indicator Data (national)'!$B$5:$H$14,3,FALSE)))/($E$151-$E$152)*10))</f>
        <v>2.9200972062146793</v>
      </c>
      <c r="F12" s="4">
        <f>IF(LOG(VLOOKUP($B12,'Indicator Data (national)'!$B$5:$H$14,3,FALSE))&gt;$F$151,10,IF(LOG(VLOOKUP($B12,'Indicator Data (national)'!$B$5:$H$14,3,FALSE))&lt;$F$152,0,10-($F$151-LOG(VLOOKUP($B12,'Indicator Data (national)'!$B$5:$H$14,3,FALSE)))/($F$151-$F$152)*10))</f>
        <v>2.9200972062146793</v>
      </c>
      <c r="G12" s="135">
        <f t="shared" si="1"/>
        <v>2.9200972062146784</v>
      </c>
      <c r="H12" s="54">
        <f>VLOOKUP($B12,'Indicator Data (national)'!$B$5:$C$14,2,FALSE)/VLOOKUP($B12,'Indicator Data (national)'!$B$5:$AM$14,38,FALSE)</f>
        <v>3.5758804990724754E-4</v>
      </c>
      <c r="I12" s="54">
        <f>VLOOKUP($B12,'Indicator Data (national)'!$B$5:$D$14,3,FALSE)/VLOOKUP($B12,'Indicator Data (national)'!$B$5:$AM$14,38,FALSE)</f>
        <v>1.2054082584930606E-2</v>
      </c>
      <c r="J12" s="54">
        <f>VLOOKUP($B12,'Indicator Data (national)'!$B$5:$D$14,3,FALSE)/VLOOKUP($B12,'Indicator Data (national)'!$B$5:$AM$14,38,FALSE)</f>
        <v>1.2054082584930606E-2</v>
      </c>
      <c r="K12" s="4">
        <f t="shared" si="2"/>
        <v>0.51084007129606768</v>
      </c>
      <c r="L12" s="4">
        <f t="shared" si="3"/>
        <v>4.0180275283102018</v>
      </c>
      <c r="M12" s="4">
        <f t="shared" si="4"/>
        <v>4.0180275283102018</v>
      </c>
      <c r="N12" s="135">
        <f t="shared" si="5"/>
        <v>4.0180275283102027</v>
      </c>
      <c r="O12" s="6">
        <f t="shared" si="6"/>
        <v>1.7503219558462924</v>
      </c>
      <c r="P12" s="6">
        <f t="shared" si="0"/>
        <v>3.4888052752557401</v>
      </c>
      <c r="Q12" s="15">
        <f t="shared" si="7"/>
        <v>2.6641709665151581</v>
      </c>
      <c r="R12" s="4">
        <f>IF(VLOOKUP($B12,'Indicator Data (national)'!$B$5:$H$14,6,FALSE)="No data","x",IF(VLOOKUP($B12,'Indicator Data (national)'!$B$5:$H$14,6,FALSE)&gt;R$149,10,IF(VLOOKUP($B12,'Indicator Data (national)'!$B$5:$H$14,6,FALSE)&lt;R$150,0,10-(R$149-VLOOKUP($B12,'Indicator Data (national)'!$B$5:$H$14,6,FALSE))/(R$149-R$150)*10)))</f>
        <v>6.4139960241606166</v>
      </c>
      <c r="S12" s="4">
        <f>IF(VLOOKUP($B12,'Indicator Data (national)'!$B$5:$H$14,7,FALSE)="No data","x",IF(VLOOKUP($B12,'Indicator Data (national)'!$B$5:$H$14,7,FALSE)&gt;S$149,10,IF(VLOOKUP($B12,'Indicator Data (national)'!$B$5:$H$14,7,FALSE)&lt;S$150,0,10-(S$149-VLOOKUP($B12,'Indicator Data (national)'!$B$5:$H$14,7,FALSE))/(S$149-S$150)*10)))</f>
        <v>2.2414935119694768</v>
      </c>
      <c r="T12" s="138">
        <f t="shared" si="8"/>
        <v>4.6565302075659556</v>
      </c>
      <c r="U12" s="6">
        <f>IF('Indicator Data'!G14=5,10,IF('Indicator Data'!G14=4,8,IF('Indicator Data'!G14=3,5,IF('Indicator Data'!G14=2,2,IF('Indicator Data'!G14=1,1,0)))))</f>
        <v>0</v>
      </c>
      <c r="V12" s="4">
        <f>IF('Indicator Data'!H14="No data","x",IF('Indicator Data'!H14&gt;1000,10,IF('Indicator Data'!H14&gt;=500,9,IF('Indicator Data'!H14&gt;=240,8,IF('Indicator Data'!H14&gt;=120,7,IF('Indicator Data'!H14&gt;=60,6,IF('Indicator Data'!H14&gt;=20,5,IF('Indicator Data'!H14&gt;=10,4,IF('Indicator Data'!H14&gt;=5,3,0)))))))))</f>
        <v>4</v>
      </c>
      <c r="W12" s="6">
        <f t="shared" si="9"/>
        <v>4</v>
      </c>
      <c r="X12" s="4">
        <f>IF('Indicator Data'!K14="No data","x",IF('Indicator Data'!K14&gt;X$149,0,IF('Indicator Data'!K14&lt;X$150,10,(X$149-'Indicator Data'!K14)/(X$149-X$150)*10)))</f>
        <v>3.9972670763118314</v>
      </c>
      <c r="Y12" s="6">
        <f t="shared" si="10"/>
        <v>1.9986335381559157</v>
      </c>
      <c r="Z12" s="7">
        <f t="shared" si="11"/>
        <v>2.6390981351829046</v>
      </c>
      <c r="AA12" s="139">
        <f t="shared" si="12"/>
        <v>4.3282651037829778</v>
      </c>
    </row>
    <row r="13" spans="1:27" s="11" customFormat="1" x14ac:dyDescent="0.25">
      <c r="A13" s="16" t="s">
        <v>348</v>
      </c>
      <c r="B13" s="126" t="s">
        <v>572</v>
      </c>
      <c r="C13" s="16" t="s">
        <v>349</v>
      </c>
      <c r="D13" s="4">
        <f>IF(LOG(VLOOKUP($B13,'Indicator Data (national)'!$B$5:$H$14,2,FALSE))&gt;$D$151,10,IF(LOG(VLOOKUP($B13,'Indicator Data (national)'!$B$5:$H$14,2,FALSE))&lt;$D$152,0,10-($D$151-LOG(VLOOKUP($B13,'Indicator Data (national)'!$B$5:$H$14,2,FALSE)))/($D$151-$D$152)*10))</f>
        <v>2.8448721366355736</v>
      </c>
      <c r="E13" s="4">
        <f>IF(LOG(VLOOKUP($B13,'Indicator Data (national)'!$B$5:$H$14,3,FALSE))&gt;$E$151,10,IF(LOG(VLOOKUP($B13,'Indicator Data (national)'!$B$5:$H$14,3,FALSE))&lt;$E$152,0,10-($E$151-LOG(VLOOKUP($B13,'Indicator Data (national)'!$B$5:$H$14,3,FALSE)))/($E$151-$E$152)*10))</f>
        <v>2.9200972062146793</v>
      </c>
      <c r="F13" s="4">
        <f>IF(LOG(VLOOKUP($B13,'Indicator Data (national)'!$B$5:$H$14,3,FALSE))&gt;$F$151,10,IF(LOG(VLOOKUP($B13,'Indicator Data (national)'!$B$5:$H$14,3,FALSE))&lt;$F$152,0,10-($F$151-LOG(VLOOKUP($B13,'Indicator Data (national)'!$B$5:$H$14,3,FALSE)))/($F$151-$F$152)*10))</f>
        <v>2.9200972062146793</v>
      </c>
      <c r="G13" s="135">
        <f t="shared" si="1"/>
        <v>2.9200972062146784</v>
      </c>
      <c r="H13" s="54">
        <f>VLOOKUP($B13,'Indicator Data (national)'!$B$5:$C$14,2,FALSE)/VLOOKUP($B13,'Indicator Data (national)'!$B$5:$AM$14,38,FALSE)</f>
        <v>3.5758804990724754E-4</v>
      </c>
      <c r="I13" s="54">
        <f>VLOOKUP($B13,'Indicator Data (national)'!$B$5:$D$14,3,FALSE)/VLOOKUP($B13,'Indicator Data (national)'!$B$5:$AM$14,38,FALSE)</f>
        <v>1.2054082584930606E-2</v>
      </c>
      <c r="J13" s="54">
        <f>VLOOKUP($B13,'Indicator Data (national)'!$B$5:$D$14,3,FALSE)/VLOOKUP($B13,'Indicator Data (national)'!$B$5:$AM$14,38,FALSE)</f>
        <v>1.2054082584930606E-2</v>
      </c>
      <c r="K13" s="4">
        <f t="shared" si="2"/>
        <v>0.51084007129606768</v>
      </c>
      <c r="L13" s="4">
        <f t="shared" si="3"/>
        <v>4.0180275283102018</v>
      </c>
      <c r="M13" s="4">
        <f t="shared" si="4"/>
        <v>4.0180275283102018</v>
      </c>
      <c r="N13" s="135">
        <f t="shared" si="5"/>
        <v>4.0180275283102027</v>
      </c>
      <c r="O13" s="6">
        <f t="shared" si="6"/>
        <v>1.7503219558462924</v>
      </c>
      <c r="P13" s="6">
        <f t="shared" si="0"/>
        <v>3.4888052752557401</v>
      </c>
      <c r="Q13" s="15">
        <f t="shared" si="7"/>
        <v>2.6641709665151581</v>
      </c>
      <c r="R13" s="4">
        <f>IF(VLOOKUP($B13,'Indicator Data (national)'!$B$5:$H$14,6,FALSE)="No data","x",IF(VLOOKUP($B13,'Indicator Data (national)'!$B$5:$H$14,6,FALSE)&gt;R$149,10,IF(VLOOKUP($B13,'Indicator Data (national)'!$B$5:$H$14,6,FALSE)&lt;R$150,0,10-(R$149-VLOOKUP($B13,'Indicator Data (national)'!$B$5:$H$14,6,FALSE))/(R$149-R$150)*10)))</f>
        <v>6.4139960241606166</v>
      </c>
      <c r="S13" s="4">
        <f>IF(VLOOKUP($B13,'Indicator Data (national)'!$B$5:$H$14,7,FALSE)="No data","x",IF(VLOOKUP($B13,'Indicator Data (national)'!$B$5:$H$14,7,FALSE)&gt;S$149,10,IF(VLOOKUP($B13,'Indicator Data (national)'!$B$5:$H$14,7,FALSE)&lt;S$150,0,10-(S$149-VLOOKUP($B13,'Indicator Data (national)'!$B$5:$H$14,7,FALSE))/(S$149-S$150)*10)))</f>
        <v>2.2414935119694768</v>
      </c>
      <c r="T13" s="138">
        <f t="shared" si="8"/>
        <v>4.6565302075659556</v>
      </c>
      <c r="U13" s="6">
        <f>IF('Indicator Data'!G15=5,10,IF('Indicator Data'!G15=4,8,IF('Indicator Data'!G15=3,5,IF('Indicator Data'!G15=2,2,IF('Indicator Data'!G15=1,1,0)))))</f>
        <v>0</v>
      </c>
      <c r="V13" s="4" t="str">
        <f>IF('Indicator Data'!H15="No data","x",IF('Indicator Data'!H15&gt;1000,10,IF('Indicator Data'!H15&gt;=500,9,IF('Indicator Data'!H15&gt;=240,8,IF('Indicator Data'!H15&gt;=120,7,IF('Indicator Data'!H15&gt;=60,6,IF('Indicator Data'!H15&gt;=20,5,IF('Indicator Data'!H15&gt;=10,4,IF('Indicator Data'!H15&gt;=5,3,0)))))))))</f>
        <v>x</v>
      </c>
      <c r="W13" s="6">
        <f t="shared" si="9"/>
        <v>0</v>
      </c>
      <c r="X13" s="4">
        <f>IF('Indicator Data'!K15="No data","x",IF('Indicator Data'!K15&gt;X$149,0,IF('Indicator Data'!K15&lt;X$150,10,(X$149-'Indicator Data'!K15)/(X$149-X$150)*10)))</f>
        <v>3.9972670763118314</v>
      </c>
      <c r="Y13" s="6">
        <f t="shared" si="10"/>
        <v>1.9986335381559157</v>
      </c>
      <c r="Z13" s="7">
        <f t="shared" si="11"/>
        <v>1.3190981351829045</v>
      </c>
      <c r="AA13" s="139">
        <f t="shared" si="12"/>
        <v>2.3282651037829778</v>
      </c>
    </row>
    <row r="14" spans="1:27" s="11" customFormat="1" x14ac:dyDescent="0.25">
      <c r="A14" s="16" t="s">
        <v>350</v>
      </c>
      <c r="B14" s="126" t="s">
        <v>572</v>
      </c>
      <c r="C14" s="16" t="s">
        <v>351</v>
      </c>
      <c r="D14" s="4">
        <f>IF(LOG(VLOOKUP($B14,'Indicator Data (national)'!$B$5:$H$14,2,FALSE))&gt;$D$151,10,IF(LOG(VLOOKUP($B14,'Indicator Data (national)'!$B$5:$H$14,2,FALSE))&lt;$D$152,0,10-($D$151-LOG(VLOOKUP($B14,'Indicator Data (national)'!$B$5:$H$14,2,FALSE)))/($D$151-$D$152)*10))</f>
        <v>2.8448721366355736</v>
      </c>
      <c r="E14" s="4">
        <f>IF(LOG(VLOOKUP($B14,'Indicator Data (national)'!$B$5:$H$14,3,FALSE))&gt;$E$151,10,IF(LOG(VLOOKUP($B14,'Indicator Data (national)'!$B$5:$H$14,3,FALSE))&lt;$E$152,0,10-($E$151-LOG(VLOOKUP($B14,'Indicator Data (national)'!$B$5:$H$14,3,FALSE)))/($E$151-$E$152)*10))</f>
        <v>2.9200972062146793</v>
      </c>
      <c r="F14" s="4">
        <f>IF(LOG(VLOOKUP($B14,'Indicator Data (national)'!$B$5:$H$14,3,FALSE))&gt;$F$151,10,IF(LOG(VLOOKUP($B14,'Indicator Data (national)'!$B$5:$H$14,3,FALSE))&lt;$F$152,0,10-($F$151-LOG(VLOOKUP($B14,'Indicator Data (national)'!$B$5:$H$14,3,FALSE)))/($F$151-$F$152)*10))</f>
        <v>2.9200972062146793</v>
      </c>
      <c r="G14" s="135">
        <f t="shared" si="1"/>
        <v>2.9200972062146784</v>
      </c>
      <c r="H14" s="54">
        <f>VLOOKUP($B14,'Indicator Data (national)'!$B$5:$C$14,2,FALSE)/VLOOKUP($B14,'Indicator Data (national)'!$B$5:$AM$14,38,FALSE)</f>
        <v>3.5758804990724754E-4</v>
      </c>
      <c r="I14" s="54">
        <f>VLOOKUP($B14,'Indicator Data (national)'!$B$5:$D$14,3,FALSE)/VLOOKUP($B14,'Indicator Data (national)'!$B$5:$AM$14,38,FALSE)</f>
        <v>1.2054082584930606E-2</v>
      </c>
      <c r="J14" s="54">
        <f>VLOOKUP($B14,'Indicator Data (national)'!$B$5:$D$14,3,FALSE)/VLOOKUP($B14,'Indicator Data (national)'!$B$5:$AM$14,38,FALSE)</f>
        <v>1.2054082584930606E-2</v>
      </c>
      <c r="K14" s="4">
        <f t="shared" si="2"/>
        <v>0.51084007129606768</v>
      </c>
      <c r="L14" s="4">
        <f t="shared" si="3"/>
        <v>4.0180275283102018</v>
      </c>
      <c r="M14" s="4">
        <f t="shared" si="4"/>
        <v>4.0180275283102018</v>
      </c>
      <c r="N14" s="135">
        <f t="shared" si="5"/>
        <v>4.0180275283102027</v>
      </c>
      <c r="O14" s="6">
        <f t="shared" si="6"/>
        <v>1.7503219558462924</v>
      </c>
      <c r="P14" s="6">
        <f t="shared" si="0"/>
        <v>3.4888052752557401</v>
      </c>
      <c r="Q14" s="15">
        <f t="shared" si="7"/>
        <v>2.6641709665151581</v>
      </c>
      <c r="R14" s="4">
        <f>IF(VLOOKUP($B14,'Indicator Data (national)'!$B$5:$H$14,6,FALSE)="No data","x",IF(VLOOKUP($B14,'Indicator Data (national)'!$B$5:$H$14,6,FALSE)&gt;R$149,10,IF(VLOOKUP($B14,'Indicator Data (national)'!$B$5:$H$14,6,FALSE)&lt;R$150,0,10-(R$149-VLOOKUP($B14,'Indicator Data (national)'!$B$5:$H$14,6,FALSE))/(R$149-R$150)*10)))</f>
        <v>6.4139960241606166</v>
      </c>
      <c r="S14" s="4">
        <f>IF(VLOOKUP($B14,'Indicator Data (national)'!$B$5:$H$14,7,FALSE)="No data","x",IF(VLOOKUP($B14,'Indicator Data (national)'!$B$5:$H$14,7,FALSE)&gt;S$149,10,IF(VLOOKUP($B14,'Indicator Data (national)'!$B$5:$H$14,7,FALSE)&lt;S$150,0,10-(S$149-VLOOKUP($B14,'Indicator Data (national)'!$B$5:$H$14,7,FALSE))/(S$149-S$150)*10)))</f>
        <v>2.2414935119694768</v>
      </c>
      <c r="T14" s="138">
        <f t="shared" si="8"/>
        <v>4.6565302075659556</v>
      </c>
      <c r="U14" s="6">
        <f>IF('Indicator Data'!G16=5,10,IF('Indicator Data'!G16=4,8,IF('Indicator Data'!G16=3,5,IF('Indicator Data'!G16=2,2,IF('Indicator Data'!G16=1,1,0)))))</f>
        <v>0</v>
      </c>
      <c r="V14" s="4">
        <f>IF('Indicator Data'!H16="No data","x",IF('Indicator Data'!H16&gt;1000,10,IF('Indicator Data'!H16&gt;=500,9,IF('Indicator Data'!H16&gt;=240,8,IF('Indicator Data'!H16&gt;=120,7,IF('Indicator Data'!H16&gt;=60,6,IF('Indicator Data'!H16&gt;=20,5,IF('Indicator Data'!H16&gt;=10,4,IF('Indicator Data'!H16&gt;=5,3,0)))))))))</f>
        <v>0</v>
      </c>
      <c r="W14" s="6">
        <f t="shared" si="9"/>
        <v>0</v>
      </c>
      <c r="X14" s="4">
        <f>IF('Indicator Data'!K16="No data","x",IF('Indicator Data'!K16&gt;X$149,0,IF('Indicator Data'!K16&lt;X$150,10,(X$149-'Indicator Data'!K16)/(X$149-X$150)*10)))</f>
        <v>3.9972670763118314</v>
      </c>
      <c r="Y14" s="6">
        <f t="shared" si="10"/>
        <v>1.9986335381559157</v>
      </c>
      <c r="Z14" s="7">
        <f t="shared" si="11"/>
        <v>1.3190981351829045</v>
      </c>
      <c r="AA14" s="139">
        <f t="shared" si="12"/>
        <v>2.3282651037829778</v>
      </c>
    </row>
    <row r="15" spans="1:27" s="11" customFormat="1" x14ac:dyDescent="0.25">
      <c r="A15" s="16" t="s">
        <v>352</v>
      </c>
      <c r="B15" s="126" t="s">
        <v>572</v>
      </c>
      <c r="C15" s="16" t="s">
        <v>353</v>
      </c>
      <c r="D15" s="4">
        <f>IF(LOG(VLOOKUP($B15,'Indicator Data (national)'!$B$5:$H$14,2,FALSE))&gt;$D$151,10,IF(LOG(VLOOKUP($B15,'Indicator Data (national)'!$B$5:$H$14,2,FALSE))&lt;$D$152,0,10-($D$151-LOG(VLOOKUP($B15,'Indicator Data (national)'!$B$5:$H$14,2,FALSE)))/($D$151-$D$152)*10))</f>
        <v>2.8448721366355736</v>
      </c>
      <c r="E15" s="4">
        <f>IF(LOG(VLOOKUP($B15,'Indicator Data (national)'!$B$5:$H$14,3,FALSE))&gt;$E$151,10,IF(LOG(VLOOKUP($B15,'Indicator Data (national)'!$B$5:$H$14,3,FALSE))&lt;$E$152,0,10-($E$151-LOG(VLOOKUP($B15,'Indicator Data (national)'!$B$5:$H$14,3,FALSE)))/($E$151-$E$152)*10))</f>
        <v>2.9200972062146793</v>
      </c>
      <c r="F15" s="4">
        <f>IF(LOG(VLOOKUP($B15,'Indicator Data (national)'!$B$5:$H$14,3,FALSE))&gt;$F$151,10,IF(LOG(VLOOKUP($B15,'Indicator Data (national)'!$B$5:$H$14,3,FALSE))&lt;$F$152,0,10-($F$151-LOG(VLOOKUP($B15,'Indicator Data (national)'!$B$5:$H$14,3,FALSE)))/($F$151-$F$152)*10))</f>
        <v>2.9200972062146793</v>
      </c>
      <c r="G15" s="135">
        <f t="shared" si="1"/>
        <v>2.9200972062146784</v>
      </c>
      <c r="H15" s="54">
        <f>VLOOKUP($B15,'Indicator Data (national)'!$B$5:$C$14,2,FALSE)/VLOOKUP($B15,'Indicator Data (national)'!$B$5:$AM$14,38,FALSE)</f>
        <v>3.5758804990724754E-4</v>
      </c>
      <c r="I15" s="54">
        <f>VLOOKUP($B15,'Indicator Data (national)'!$B$5:$D$14,3,FALSE)/VLOOKUP($B15,'Indicator Data (national)'!$B$5:$AM$14,38,FALSE)</f>
        <v>1.2054082584930606E-2</v>
      </c>
      <c r="J15" s="54">
        <f>VLOOKUP($B15,'Indicator Data (national)'!$B$5:$D$14,3,FALSE)/VLOOKUP($B15,'Indicator Data (national)'!$B$5:$AM$14,38,FALSE)</f>
        <v>1.2054082584930606E-2</v>
      </c>
      <c r="K15" s="4">
        <f t="shared" si="2"/>
        <v>0.51084007129606768</v>
      </c>
      <c r="L15" s="4">
        <f t="shared" si="3"/>
        <v>4.0180275283102018</v>
      </c>
      <c r="M15" s="4">
        <f t="shared" si="4"/>
        <v>4.0180275283102018</v>
      </c>
      <c r="N15" s="135">
        <f t="shared" si="5"/>
        <v>4.0180275283102027</v>
      </c>
      <c r="O15" s="6">
        <f t="shared" si="6"/>
        <v>1.7503219558462924</v>
      </c>
      <c r="P15" s="6">
        <f t="shared" si="0"/>
        <v>3.4888052752557401</v>
      </c>
      <c r="Q15" s="15">
        <f t="shared" si="7"/>
        <v>2.6641709665151581</v>
      </c>
      <c r="R15" s="4">
        <f>IF(VLOOKUP($B15,'Indicator Data (national)'!$B$5:$H$14,6,FALSE)="No data","x",IF(VLOOKUP($B15,'Indicator Data (national)'!$B$5:$H$14,6,FALSE)&gt;R$149,10,IF(VLOOKUP($B15,'Indicator Data (national)'!$B$5:$H$14,6,FALSE)&lt;R$150,0,10-(R$149-VLOOKUP($B15,'Indicator Data (national)'!$B$5:$H$14,6,FALSE))/(R$149-R$150)*10)))</f>
        <v>6.4139960241606166</v>
      </c>
      <c r="S15" s="4">
        <f>IF(VLOOKUP($B15,'Indicator Data (national)'!$B$5:$H$14,7,FALSE)="No data","x",IF(VLOOKUP($B15,'Indicator Data (national)'!$B$5:$H$14,7,FALSE)&gt;S$149,10,IF(VLOOKUP($B15,'Indicator Data (national)'!$B$5:$H$14,7,FALSE)&lt;S$150,0,10-(S$149-VLOOKUP($B15,'Indicator Data (national)'!$B$5:$H$14,7,FALSE))/(S$149-S$150)*10)))</f>
        <v>2.2414935119694768</v>
      </c>
      <c r="T15" s="138">
        <f t="shared" si="8"/>
        <v>4.6565302075659556</v>
      </c>
      <c r="U15" s="6">
        <f>IF('Indicator Data'!G17=5,10,IF('Indicator Data'!G17=4,8,IF('Indicator Data'!G17=3,5,IF('Indicator Data'!G17=2,2,IF('Indicator Data'!G17=1,1,0)))))</f>
        <v>0</v>
      </c>
      <c r="V15" s="4">
        <f>IF('Indicator Data'!H17="No data","x",IF('Indicator Data'!H17&gt;1000,10,IF('Indicator Data'!H17&gt;=500,9,IF('Indicator Data'!H17&gt;=240,8,IF('Indicator Data'!H17&gt;=120,7,IF('Indicator Data'!H17&gt;=60,6,IF('Indicator Data'!H17&gt;=20,5,IF('Indicator Data'!H17&gt;=10,4,IF('Indicator Data'!H17&gt;=5,3,0)))))))))</f>
        <v>0</v>
      </c>
      <c r="W15" s="6">
        <f t="shared" si="9"/>
        <v>0</v>
      </c>
      <c r="X15" s="4">
        <f>IF('Indicator Data'!K17="No data","x",IF('Indicator Data'!K17&gt;X$149,0,IF('Indicator Data'!K17&lt;X$150,10,(X$149-'Indicator Data'!K17)/(X$149-X$150)*10)))</f>
        <v>3.9972670763118314</v>
      </c>
      <c r="Y15" s="6">
        <f t="shared" si="10"/>
        <v>1.9986335381559157</v>
      </c>
      <c r="Z15" s="7">
        <f t="shared" si="11"/>
        <v>1.3190981351829045</v>
      </c>
      <c r="AA15" s="139">
        <f t="shared" si="12"/>
        <v>2.3282651037829778</v>
      </c>
    </row>
    <row r="16" spans="1:27" s="11" customFormat="1" x14ac:dyDescent="0.25">
      <c r="A16" s="16" t="s">
        <v>354</v>
      </c>
      <c r="B16" s="126" t="s">
        <v>572</v>
      </c>
      <c r="C16" s="16" t="s">
        <v>355</v>
      </c>
      <c r="D16" s="4">
        <f>IF(LOG(VLOOKUP($B16,'Indicator Data (national)'!$B$5:$H$14,2,FALSE))&gt;$D$151,10,IF(LOG(VLOOKUP($B16,'Indicator Data (national)'!$B$5:$H$14,2,FALSE))&lt;$D$152,0,10-($D$151-LOG(VLOOKUP($B16,'Indicator Data (national)'!$B$5:$H$14,2,FALSE)))/($D$151-$D$152)*10))</f>
        <v>2.8448721366355736</v>
      </c>
      <c r="E16" s="4">
        <f>IF(LOG(VLOOKUP($B16,'Indicator Data (national)'!$B$5:$H$14,3,FALSE))&gt;$E$151,10,IF(LOG(VLOOKUP($B16,'Indicator Data (national)'!$B$5:$H$14,3,FALSE))&lt;$E$152,0,10-($E$151-LOG(VLOOKUP($B16,'Indicator Data (national)'!$B$5:$H$14,3,FALSE)))/($E$151-$E$152)*10))</f>
        <v>2.9200972062146793</v>
      </c>
      <c r="F16" s="4">
        <f>IF(LOG(VLOOKUP($B16,'Indicator Data (national)'!$B$5:$H$14,3,FALSE))&gt;$F$151,10,IF(LOG(VLOOKUP($B16,'Indicator Data (national)'!$B$5:$H$14,3,FALSE))&lt;$F$152,0,10-($F$151-LOG(VLOOKUP($B16,'Indicator Data (national)'!$B$5:$H$14,3,FALSE)))/($F$151-$F$152)*10))</f>
        <v>2.9200972062146793</v>
      </c>
      <c r="G16" s="135">
        <f t="shared" si="1"/>
        <v>2.9200972062146784</v>
      </c>
      <c r="H16" s="54">
        <f>VLOOKUP($B16,'Indicator Data (national)'!$B$5:$C$14,2,FALSE)/VLOOKUP($B16,'Indicator Data (national)'!$B$5:$AM$14,38,FALSE)</f>
        <v>3.5758804990724754E-4</v>
      </c>
      <c r="I16" s="54">
        <f>VLOOKUP($B16,'Indicator Data (national)'!$B$5:$D$14,3,FALSE)/VLOOKUP($B16,'Indicator Data (national)'!$B$5:$AM$14,38,FALSE)</f>
        <v>1.2054082584930606E-2</v>
      </c>
      <c r="J16" s="54">
        <f>VLOOKUP($B16,'Indicator Data (national)'!$B$5:$D$14,3,FALSE)/VLOOKUP($B16,'Indicator Data (national)'!$B$5:$AM$14,38,FALSE)</f>
        <v>1.2054082584930606E-2</v>
      </c>
      <c r="K16" s="4">
        <f t="shared" si="2"/>
        <v>0.51084007129606768</v>
      </c>
      <c r="L16" s="4">
        <f t="shared" si="3"/>
        <v>4.0180275283102018</v>
      </c>
      <c r="M16" s="4">
        <f t="shared" si="4"/>
        <v>4.0180275283102018</v>
      </c>
      <c r="N16" s="135">
        <f t="shared" si="5"/>
        <v>4.0180275283102027</v>
      </c>
      <c r="O16" s="6">
        <f t="shared" si="6"/>
        <v>1.7503219558462924</v>
      </c>
      <c r="P16" s="6">
        <f t="shared" si="0"/>
        <v>3.4888052752557401</v>
      </c>
      <c r="Q16" s="15">
        <f t="shared" si="7"/>
        <v>2.6641709665151581</v>
      </c>
      <c r="R16" s="4">
        <f>IF(VLOOKUP($B16,'Indicator Data (national)'!$B$5:$H$14,6,FALSE)="No data","x",IF(VLOOKUP($B16,'Indicator Data (national)'!$B$5:$H$14,6,FALSE)&gt;R$149,10,IF(VLOOKUP($B16,'Indicator Data (national)'!$B$5:$H$14,6,FALSE)&lt;R$150,0,10-(R$149-VLOOKUP($B16,'Indicator Data (national)'!$B$5:$H$14,6,FALSE))/(R$149-R$150)*10)))</f>
        <v>6.4139960241606166</v>
      </c>
      <c r="S16" s="4">
        <f>IF(VLOOKUP($B16,'Indicator Data (national)'!$B$5:$H$14,7,FALSE)="No data","x",IF(VLOOKUP($B16,'Indicator Data (national)'!$B$5:$H$14,7,FALSE)&gt;S$149,10,IF(VLOOKUP($B16,'Indicator Data (national)'!$B$5:$H$14,7,FALSE)&lt;S$150,0,10-(S$149-VLOOKUP($B16,'Indicator Data (national)'!$B$5:$H$14,7,FALSE))/(S$149-S$150)*10)))</f>
        <v>2.2414935119694768</v>
      </c>
      <c r="T16" s="138">
        <f t="shared" si="8"/>
        <v>4.6565302075659556</v>
      </c>
      <c r="U16" s="6">
        <f>IF('Indicator Data'!G18=5,10,IF('Indicator Data'!G18=4,8,IF('Indicator Data'!G18=3,5,IF('Indicator Data'!G18=2,2,IF('Indicator Data'!G18=1,1,0)))))</f>
        <v>0</v>
      </c>
      <c r="V16" s="4" t="str">
        <f>IF('Indicator Data'!H18="No data","x",IF('Indicator Data'!H18&gt;1000,10,IF('Indicator Data'!H18&gt;=500,9,IF('Indicator Data'!H18&gt;=240,8,IF('Indicator Data'!H18&gt;=120,7,IF('Indicator Data'!H18&gt;=60,6,IF('Indicator Data'!H18&gt;=20,5,IF('Indicator Data'!H18&gt;=10,4,IF('Indicator Data'!H18&gt;=5,3,0)))))))))</f>
        <v>x</v>
      </c>
      <c r="W16" s="6">
        <f t="shared" si="9"/>
        <v>0</v>
      </c>
      <c r="X16" s="4">
        <f>IF('Indicator Data'!K18="No data","x",IF('Indicator Data'!K18&gt;X$149,0,IF('Indicator Data'!K18&lt;X$150,10,(X$149-'Indicator Data'!K18)/(X$149-X$150)*10)))</f>
        <v>3.9972670763118314</v>
      </c>
      <c r="Y16" s="6">
        <f t="shared" si="10"/>
        <v>1.9986335381559157</v>
      </c>
      <c r="Z16" s="7">
        <f t="shared" si="11"/>
        <v>1.3190981351829045</v>
      </c>
      <c r="AA16" s="139">
        <f t="shared" si="12"/>
        <v>2.3282651037829778</v>
      </c>
    </row>
    <row r="17" spans="1:27" s="11" customFormat="1" x14ac:dyDescent="0.25">
      <c r="A17" s="16" t="s">
        <v>356</v>
      </c>
      <c r="B17" s="126" t="s">
        <v>572</v>
      </c>
      <c r="C17" s="16" t="s">
        <v>357</v>
      </c>
      <c r="D17" s="4">
        <f>IF(LOG(VLOOKUP($B17,'Indicator Data (national)'!$B$5:$H$14,2,FALSE))&gt;$D$151,10,IF(LOG(VLOOKUP($B17,'Indicator Data (national)'!$B$5:$H$14,2,FALSE))&lt;$D$152,0,10-($D$151-LOG(VLOOKUP($B17,'Indicator Data (national)'!$B$5:$H$14,2,FALSE)))/($D$151-$D$152)*10))</f>
        <v>2.8448721366355736</v>
      </c>
      <c r="E17" s="4">
        <f>IF(LOG(VLOOKUP($B17,'Indicator Data (national)'!$B$5:$H$14,3,FALSE))&gt;$E$151,10,IF(LOG(VLOOKUP($B17,'Indicator Data (national)'!$B$5:$H$14,3,FALSE))&lt;$E$152,0,10-($E$151-LOG(VLOOKUP($B17,'Indicator Data (national)'!$B$5:$H$14,3,FALSE)))/($E$151-$E$152)*10))</f>
        <v>2.9200972062146793</v>
      </c>
      <c r="F17" s="4">
        <f>IF(LOG(VLOOKUP($B17,'Indicator Data (national)'!$B$5:$H$14,3,FALSE))&gt;$F$151,10,IF(LOG(VLOOKUP($B17,'Indicator Data (national)'!$B$5:$H$14,3,FALSE))&lt;$F$152,0,10-($F$151-LOG(VLOOKUP($B17,'Indicator Data (national)'!$B$5:$H$14,3,FALSE)))/($F$151-$F$152)*10))</f>
        <v>2.9200972062146793</v>
      </c>
      <c r="G17" s="135">
        <f t="shared" si="1"/>
        <v>2.9200972062146784</v>
      </c>
      <c r="H17" s="54">
        <f>VLOOKUP($B17,'Indicator Data (national)'!$B$5:$C$14,2,FALSE)/VLOOKUP($B17,'Indicator Data (national)'!$B$5:$AM$14,38,FALSE)</f>
        <v>3.5758804990724754E-4</v>
      </c>
      <c r="I17" s="54">
        <f>VLOOKUP($B17,'Indicator Data (national)'!$B$5:$D$14,3,FALSE)/VLOOKUP($B17,'Indicator Data (national)'!$B$5:$AM$14,38,FALSE)</f>
        <v>1.2054082584930606E-2</v>
      </c>
      <c r="J17" s="54">
        <f>VLOOKUP($B17,'Indicator Data (national)'!$B$5:$D$14,3,FALSE)/VLOOKUP($B17,'Indicator Data (national)'!$B$5:$AM$14,38,FALSE)</f>
        <v>1.2054082584930606E-2</v>
      </c>
      <c r="K17" s="4">
        <f t="shared" si="2"/>
        <v>0.51084007129606768</v>
      </c>
      <c r="L17" s="4">
        <f t="shared" si="3"/>
        <v>4.0180275283102018</v>
      </c>
      <c r="M17" s="4">
        <f t="shared" si="4"/>
        <v>4.0180275283102018</v>
      </c>
      <c r="N17" s="135">
        <f t="shared" si="5"/>
        <v>4.0180275283102027</v>
      </c>
      <c r="O17" s="6">
        <f t="shared" si="6"/>
        <v>1.7503219558462924</v>
      </c>
      <c r="P17" s="6">
        <f t="shared" si="0"/>
        <v>3.4888052752557401</v>
      </c>
      <c r="Q17" s="15">
        <f t="shared" si="7"/>
        <v>2.6641709665151581</v>
      </c>
      <c r="R17" s="4">
        <f>IF(VLOOKUP($B17,'Indicator Data (national)'!$B$5:$H$14,6,FALSE)="No data","x",IF(VLOOKUP($B17,'Indicator Data (national)'!$B$5:$H$14,6,FALSE)&gt;R$149,10,IF(VLOOKUP($B17,'Indicator Data (national)'!$B$5:$H$14,6,FALSE)&lt;R$150,0,10-(R$149-VLOOKUP($B17,'Indicator Data (national)'!$B$5:$H$14,6,FALSE))/(R$149-R$150)*10)))</f>
        <v>6.4139960241606166</v>
      </c>
      <c r="S17" s="4">
        <f>IF(VLOOKUP($B17,'Indicator Data (national)'!$B$5:$H$14,7,FALSE)="No data","x",IF(VLOOKUP($B17,'Indicator Data (national)'!$B$5:$H$14,7,FALSE)&gt;S$149,10,IF(VLOOKUP($B17,'Indicator Data (national)'!$B$5:$H$14,7,FALSE)&lt;S$150,0,10-(S$149-VLOOKUP($B17,'Indicator Data (national)'!$B$5:$H$14,7,FALSE))/(S$149-S$150)*10)))</f>
        <v>2.2414935119694768</v>
      </c>
      <c r="T17" s="138">
        <f t="shared" si="8"/>
        <v>4.6565302075659556</v>
      </c>
      <c r="U17" s="6">
        <f>IF('Indicator Data'!G19=5,10,IF('Indicator Data'!G19=4,8,IF('Indicator Data'!G19=3,5,IF('Indicator Data'!G19=2,2,IF('Indicator Data'!G19=1,1,0)))))</f>
        <v>0</v>
      </c>
      <c r="V17" s="4">
        <f>IF('Indicator Data'!H19="No data","x",IF('Indicator Data'!H19&gt;1000,10,IF('Indicator Data'!H19&gt;=500,9,IF('Indicator Data'!H19&gt;=240,8,IF('Indicator Data'!H19&gt;=120,7,IF('Indicator Data'!H19&gt;=60,6,IF('Indicator Data'!H19&gt;=20,5,IF('Indicator Data'!H19&gt;=10,4,IF('Indicator Data'!H19&gt;=5,3,0)))))))))</f>
        <v>0</v>
      </c>
      <c r="W17" s="6">
        <f t="shared" si="9"/>
        <v>0</v>
      </c>
      <c r="X17" s="4">
        <f>IF('Indicator Data'!K19="No data","x",IF('Indicator Data'!K19&gt;X$149,0,IF('Indicator Data'!K19&lt;X$150,10,(X$149-'Indicator Data'!K19)/(X$149-X$150)*10)))</f>
        <v>3.9972670763118314</v>
      </c>
      <c r="Y17" s="6">
        <f t="shared" si="10"/>
        <v>1.9986335381559157</v>
      </c>
      <c r="Z17" s="7">
        <f t="shared" si="11"/>
        <v>1.3190981351829045</v>
      </c>
      <c r="AA17" s="139">
        <f t="shared" si="12"/>
        <v>2.3282651037829778</v>
      </c>
    </row>
    <row r="18" spans="1:27" s="11" customFormat="1" x14ac:dyDescent="0.25">
      <c r="A18" s="16" t="s">
        <v>358</v>
      </c>
      <c r="B18" s="126" t="s">
        <v>572</v>
      </c>
      <c r="C18" s="16" t="s">
        <v>359</v>
      </c>
      <c r="D18" s="4">
        <f>IF(LOG(VLOOKUP($B18,'Indicator Data (national)'!$B$5:$H$14,2,FALSE))&gt;$D$151,10,IF(LOG(VLOOKUP($B18,'Indicator Data (national)'!$B$5:$H$14,2,FALSE))&lt;$D$152,0,10-($D$151-LOG(VLOOKUP($B18,'Indicator Data (national)'!$B$5:$H$14,2,FALSE)))/($D$151-$D$152)*10))</f>
        <v>2.8448721366355736</v>
      </c>
      <c r="E18" s="4">
        <f>IF(LOG(VLOOKUP($B18,'Indicator Data (national)'!$B$5:$H$14,3,FALSE))&gt;$E$151,10,IF(LOG(VLOOKUP($B18,'Indicator Data (national)'!$B$5:$H$14,3,FALSE))&lt;$E$152,0,10-($E$151-LOG(VLOOKUP($B18,'Indicator Data (national)'!$B$5:$H$14,3,FALSE)))/($E$151-$E$152)*10))</f>
        <v>2.9200972062146793</v>
      </c>
      <c r="F18" s="4">
        <f>IF(LOG(VLOOKUP($B18,'Indicator Data (national)'!$B$5:$H$14,3,FALSE))&gt;$F$151,10,IF(LOG(VLOOKUP($B18,'Indicator Data (national)'!$B$5:$H$14,3,FALSE))&lt;$F$152,0,10-($F$151-LOG(VLOOKUP($B18,'Indicator Data (national)'!$B$5:$H$14,3,FALSE)))/($F$151-$F$152)*10))</f>
        <v>2.9200972062146793</v>
      </c>
      <c r="G18" s="135">
        <f t="shared" si="1"/>
        <v>2.9200972062146784</v>
      </c>
      <c r="H18" s="54">
        <f>VLOOKUP($B18,'Indicator Data (national)'!$B$5:$C$14,2,FALSE)/VLOOKUP($B18,'Indicator Data (national)'!$B$5:$AM$14,38,FALSE)</f>
        <v>3.5758804990724754E-4</v>
      </c>
      <c r="I18" s="54">
        <f>VLOOKUP($B18,'Indicator Data (national)'!$B$5:$D$14,3,FALSE)/VLOOKUP($B18,'Indicator Data (national)'!$B$5:$AM$14,38,FALSE)</f>
        <v>1.2054082584930606E-2</v>
      </c>
      <c r="J18" s="54">
        <f>VLOOKUP($B18,'Indicator Data (national)'!$B$5:$D$14,3,FALSE)/VLOOKUP($B18,'Indicator Data (national)'!$B$5:$AM$14,38,FALSE)</f>
        <v>1.2054082584930606E-2</v>
      </c>
      <c r="K18" s="4">
        <f t="shared" si="2"/>
        <v>0.51084007129606768</v>
      </c>
      <c r="L18" s="4">
        <f t="shared" si="3"/>
        <v>4.0180275283102018</v>
      </c>
      <c r="M18" s="4">
        <f t="shared" si="4"/>
        <v>4.0180275283102018</v>
      </c>
      <c r="N18" s="135">
        <f t="shared" si="5"/>
        <v>4.0180275283102027</v>
      </c>
      <c r="O18" s="6">
        <f t="shared" si="6"/>
        <v>1.7503219558462924</v>
      </c>
      <c r="P18" s="6">
        <f t="shared" si="0"/>
        <v>3.4888052752557401</v>
      </c>
      <c r="Q18" s="15">
        <f t="shared" si="7"/>
        <v>2.6641709665151581</v>
      </c>
      <c r="R18" s="4">
        <f>IF(VLOOKUP($B18,'Indicator Data (national)'!$B$5:$H$14,6,FALSE)="No data","x",IF(VLOOKUP($B18,'Indicator Data (national)'!$B$5:$H$14,6,FALSE)&gt;R$149,10,IF(VLOOKUP($B18,'Indicator Data (national)'!$B$5:$H$14,6,FALSE)&lt;R$150,0,10-(R$149-VLOOKUP($B18,'Indicator Data (national)'!$B$5:$H$14,6,FALSE))/(R$149-R$150)*10)))</f>
        <v>6.4139960241606166</v>
      </c>
      <c r="S18" s="4">
        <f>IF(VLOOKUP($B18,'Indicator Data (national)'!$B$5:$H$14,7,FALSE)="No data","x",IF(VLOOKUP($B18,'Indicator Data (national)'!$B$5:$H$14,7,FALSE)&gt;S$149,10,IF(VLOOKUP($B18,'Indicator Data (national)'!$B$5:$H$14,7,FALSE)&lt;S$150,0,10-(S$149-VLOOKUP($B18,'Indicator Data (national)'!$B$5:$H$14,7,FALSE))/(S$149-S$150)*10)))</f>
        <v>2.2414935119694768</v>
      </c>
      <c r="T18" s="138">
        <f t="shared" si="8"/>
        <v>4.6565302075659556</v>
      </c>
      <c r="U18" s="6">
        <f>IF('Indicator Data'!G20=5,10,IF('Indicator Data'!G20=4,8,IF('Indicator Data'!G20=3,5,IF('Indicator Data'!G20=2,2,IF('Indicator Data'!G20=1,1,0)))))</f>
        <v>0</v>
      </c>
      <c r="V18" s="4">
        <f>IF('Indicator Data'!H20="No data","x",IF('Indicator Data'!H20&gt;1000,10,IF('Indicator Data'!H20&gt;=500,9,IF('Indicator Data'!H20&gt;=240,8,IF('Indicator Data'!H20&gt;=120,7,IF('Indicator Data'!H20&gt;=60,6,IF('Indicator Data'!H20&gt;=20,5,IF('Indicator Data'!H20&gt;=10,4,IF('Indicator Data'!H20&gt;=5,3,0)))))))))</f>
        <v>0</v>
      </c>
      <c r="W18" s="6">
        <f t="shared" si="9"/>
        <v>0</v>
      </c>
      <c r="X18" s="4">
        <f>IF('Indicator Data'!K20="No data","x",IF('Indicator Data'!K20&gt;X$149,0,IF('Indicator Data'!K20&lt;X$150,10,(X$149-'Indicator Data'!K20)/(X$149-X$150)*10)))</f>
        <v>3.9972670763118314</v>
      </c>
      <c r="Y18" s="6">
        <f t="shared" si="10"/>
        <v>1.9986335381559157</v>
      </c>
      <c r="Z18" s="7">
        <f t="shared" si="11"/>
        <v>1.3190981351829045</v>
      </c>
      <c r="AA18" s="139">
        <f t="shared" si="12"/>
        <v>2.3282651037829778</v>
      </c>
    </row>
    <row r="19" spans="1:27" s="11" customFormat="1" x14ac:dyDescent="0.25">
      <c r="A19" s="16" t="s">
        <v>360</v>
      </c>
      <c r="B19" s="126" t="s">
        <v>572</v>
      </c>
      <c r="C19" s="16" t="s">
        <v>361</v>
      </c>
      <c r="D19" s="4">
        <f>IF(LOG(VLOOKUP($B19,'Indicator Data (national)'!$B$5:$H$14,2,FALSE))&gt;$D$151,10,IF(LOG(VLOOKUP($B19,'Indicator Data (national)'!$B$5:$H$14,2,FALSE))&lt;$D$152,0,10-($D$151-LOG(VLOOKUP($B19,'Indicator Data (national)'!$B$5:$H$14,2,FALSE)))/($D$151-$D$152)*10))</f>
        <v>2.8448721366355736</v>
      </c>
      <c r="E19" s="4">
        <f>IF(LOG(VLOOKUP($B19,'Indicator Data (national)'!$B$5:$H$14,3,FALSE))&gt;$E$151,10,IF(LOG(VLOOKUP($B19,'Indicator Data (national)'!$B$5:$H$14,3,FALSE))&lt;$E$152,0,10-($E$151-LOG(VLOOKUP($B19,'Indicator Data (national)'!$B$5:$H$14,3,FALSE)))/($E$151-$E$152)*10))</f>
        <v>2.9200972062146793</v>
      </c>
      <c r="F19" s="4">
        <f>IF(LOG(VLOOKUP($B19,'Indicator Data (national)'!$B$5:$H$14,3,FALSE))&gt;$F$151,10,IF(LOG(VLOOKUP($B19,'Indicator Data (national)'!$B$5:$H$14,3,FALSE))&lt;$F$152,0,10-($F$151-LOG(VLOOKUP($B19,'Indicator Data (national)'!$B$5:$H$14,3,FALSE)))/($F$151-$F$152)*10))</f>
        <v>2.9200972062146793</v>
      </c>
      <c r="G19" s="135">
        <f t="shared" si="1"/>
        <v>2.9200972062146784</v>
      </c>
      <c r="H19" s="54">
        <f>VLOOKUP($B19,'Indicator Data (national)'!$B$5:$C$14,2,FALSE)/VLOOKUP($B19,'Indicator Data (national)'!$B$5:$AM$14,38,FALSE)</f>
        <v>3.5758804990724754E-4</v>
      </c>
      <c r="I19" s="54">
        <f>VLOOKUP($B19,'Indicator Data (national)'!$B$5:$D$14,3,FALSE)/VLOOKUP($B19,'Indicator Data (national)'!$B$5:$AM$14,38,FALSE)</f>
        <v>1.2054082584930606E-2</v>
      </c>
      <c r="J19" s="54">
        <f>VLOOKUP($B19,'Indicator Data (national)'!$B$5:$D$14,3,FALSE)/VLOOKUP($B19,'Indicator Data (national)'!$B$5:$AM$14,38,FALSE)</f>
        <v>1.2054082584930606E-2</v>
      </c>
      <c r="K19" s="4">
        <f t="shared" si="2"/>
        <v>0.51084007129606768</v>
      </c>
      <c r="L19" s="4">
        <f t="shared" si="3"/>
        <v>4.0180275283102018</v>
      </c>
      <c r="M19" s="4">
        <f t="shared" si="4"/>
        <v>4.0180275283102018</v>
      </c>
      <c r="N19" s="135">
        <f t="shared" si="5"/>
        <v>4.0180275283102027</v>
      </c>
      <c r="O19" s="6">
        <f t="shared" si="6"/>
        <v>1.7503219558462924</v>
      </c>
      <c r="P19" s="6">
        <f t="shared" si="0"/>
        <v>3.4888052752557401</v>
      </c>
      <c r="Q19" s="15">
        <f t="shared" si="7"/>
        <v>2.6641709665151581</v>
      </c>
      <c r="R19" s="4">
        <f>IF(VLOOKUP($B19,'Indicator Data (national)'!$B$5:$H$14,6,FALSE)="No data","x",IF(VLOOKUP($B19,'Indicator Data (national)'!$B$5:$H$14,6,FALSE)&gt;R$149,10,IF(VLOOKUP($B19,'Indicator Data (national)'!$B$5:$H$14,6,FALSE)&lt;R$150,0,10-(R$149-VLOOKUP($B19,'Indicator Data (national)'!$B$5:$H$14,6,FALSE))/(R$149-R$150)*10)))</f>
        <v>6.4139960241606166</v>
      </c>
      <c r="S19" s="4">
        <f>IF(VLOOKUP($B19,'Indicator Data (national)'!$B$5:$H$14,7,FALSE)="No data","x",IF(VLOOKUP($B19,'Indicator Data (national)'!$B$5:$H$14,7,FALSE)&gt;S$149,10,IF(VLOOKUP($B19,'Indicator Data (national)'!$B$5:$H$14,7,FALSE)&lt;S$150,0,10-(S$149-VLOOKUP($B19,'Indicator Data (national)'!$B$5:$H$14,7,FALSE))/(S$149-S$150)*10)))</f>
        <v>2.2414935119694768</v>
      </c>
      <c r="T19" s="138">
        <f t="shared" si="8"/>
        <v>4.6565302075659556</v>
      </c>
      <c r="U19" s="6">
        <f>IF('Indicator Data'!G21=5,10,IF('Indicator Data'!G21=4,8,IF('Indicator Data'!G21=3,5,IF('Indicator Data'!G21=2,2,IF('Indicator Data'!G21=1,1,0)))))</f>
        <v>0</v>
      </c>
      <c r="V19" s="4">
        <f>IF('Indicator Data'!H21="No data","x",IF('Indicator Data'!H21&gt;1000,10,IF('Indicator Data'!H21&gt;=500,9,IF('Indicator Data'!H21&gt;=240,8,IF('Indicator Data'!H21&gt;=120,7,IF('Indicator Data'!H21&gt;=60,6,IF('Indicator Data'!H21&gt;=20,5,IF('Indicator Data'!H21&gt;=10,4,IF('Indicator Data'!H21&gt;=5,3,0)))))))))</f>
        <v>0</v>
      </c>
      <c r="W19" s="6">
        <f t="shared" si="9"/>
        <v>0</v>
      </c>
      <c r="X19" s="4">
        <f>IF('Indicator Data'!K21="No data","x",IF('Indicator Data'!K21&gt;X$149,0,IF('Indicator Data'!K21&lt;X$150,10,(X$149-'Indicator Data'!K21)/(X$149-X$150)*10)))</f>
        <v>3.9972670763118314</v>
      </c>
      <c r="Y19" s="6">
        <f t="shared" si="10"/>
        <v>1.9986335381559157</v>
      </c>
      <c r="Z19" s="7">
        <f t="shared" si="11"/>
        <v>1.3190981351829045</v>
      </c>
      <c r="AA19" s="139">
        <f t="shared" si="12"/>
        <v>2.3282651037829778</v>
      </c>
    </row>
    <row r="20" spans="1:27" s="11" customFormat="1" x14ac:dyDescent="0.25">
      <c r="A20" s="16" t="s">
        <v>363</v>
      </c>
      <c r="B20" s="11" t="s">
        <v>573</v>
      </c>
      <c r="C20" s="16" t="s">
        <v>364</v>
      </c>
      <c r="D20" s="4">
        <f>IF('Indicator Data'!D22="No data","x",IF('Indicator Data'!D22=0,0,IF(LOG('Indicator Data'!D22)&gt;D$149,10,IF(LOG('Indicator Data'!D22)&lt;D$150,0,10-(D$149-LOG('Indicator Data'!D22))/(D$149-D$150)*10))))</f>
        <v>2.9712920966667431</v>
      </c>
      <c r="E20" s="4">
        <f>IF('Indicator Data'!E22="No data","x",IF('Indicator Data'!E22=0,0,IF(LOG('Indicator Data'!E22)&gt;E$149,10,IF(LOG('Indicator Data'!E22)&lt;E$150,0,10-(E$149-LOG('Indicator Data'!E22))/(E$149-E$150)*10))))</f>
        <v>5.1220082608143258</v>
      </c>
      <c r="F20" s="4">
        <f>IF('Indicator Data'!F22="No data","x",IF('Indicator Data'!F22=0,0,IF(LOG('Indicator Data'!F22)&gt;F$149,10,IF(LOG('Indicator Data'!F22)&lt;F$150,0,10-(F$149-LOG('Indicator Data'!F22))/(F$149-F$150)*10))))</f>
        <v>0</v>
      </c>
      <c r="G20" s="135">
        <f>IF(AND(E20="x",F20="x"),"x",AVERAGE(E20,E20,E20,F20))</f>
        <v>3.8415061956107444</v>
      </c>
      <c r="H20" s="54">
        <f>IF('Indicator Data'!D22="No data","x",'Indicator Data'!D22/'Indicator Data'!AN22)</f>
        <v>1.4124559341950647E-2</v>
      </c>
      <c r="I20" s="54">
        <f>IF('Indicator Data'!E22="No data","x",'Indicator Data'!E22/'Indicator Data'!$AN22)</f>
        <v>0.13908343125734429</v>
      </c>
      <c r="J20" s="54">
        <f>IF('Indicator Data'!F22="No data","x",'Indicator Data'!F22/'Indicator Data'!$AN22)</f>
        <v>0</v>
      </c>
      <c r="K20" s="4">
        <f t="shared" ref="K20:K67" si="13">IF(H20="x","x",IF(H20&gt;K$149,10,IF(H20&lt;K$150,0,10-(K$149-H20)/(K$149-K$150)*10)))</f>
        <v>0.70622796709753288</v>
      </c>
      <c r="L20" s="4">
        <f t="shared" ref="L20:L67" si="14">IF(I20="x","x",IF(I20&gt;L$149,10,IF(I20&lt;L$150,0,10-(L$149-I20)/(L$149-L$150)*10)))</f>
        <v>6.9541715628672138</v>
      </c>
      <c r="M20" s="4">
        <f t="shared" ref="M20:M67" si="15">IF(J20="x","x",IF(J20&gt;M$149,10,IF(J20&lt;M$150,0,10-(M$149-J20)/(M$149-M$150)*10)))</f>
        <v>0</v>
      </c>
      <c r="N20" s="135">
        <f>IF(AND(L20="x",M20="x"),"x",AVERAGE(L20,L20, L20,M20))</f>
        <v>5.2156286721504106</v>
      </c>
      <c r="O20" s="6">
        <f t="shared" si="6"/>
        <v>1.9081840952800377</v>
      </c>
      <c r="P20" s="6">
        <f t="shared" si="0"/>
        <v>4.5645220666151305</v>
      </c>
      <c r="Q20" s="15">
        <f t="shared" si="7"/>
        <v>3.3491666911132603</v>
      </c>
      <c r="R20" s="4">
        <f>IF(VLOOKUP($B20,'Indicator Data (national)'!$B$5:$H$14,6,FALSE)="No data","x",IF(VLOOKUP($B20,'Indicator Data (national)'!$B$5:$H$14,6,FALSE)&gt;R$149,10,IF(VLOOKUP($B20,'Indicator Data (national)'!$B$5:$H$14,6,FALSE)&lt;R$150,0,10-(R$149-VLOOKUP($B20,'Indicator Data (national)'!$B$5:$H$14,6,FALSE))/(R$149-R$150)*10)))</f>
        <v>1.1664104494185921</v>
      </c>
      <c r="S20" s="4">
        <f>IF(VLOOKUP($B20,'Indicator Data (national)'!$B$5:$H$14,7,FALSE)="No data","x",IF(VLOOKUP($B20,'Indicator Data (national)'!$B$5:$H$14,7,FALSE)&gt;S$149,10,IF(VLOOKUP($B20,'Indicator Data (national)'!$B$5:$H$14,7,FALSE)&lt;S$150,0,10-(S$149-VLOOKUP($B20,'Indicator Data (national)'!$B$5:$H$14,7,FALSE))/(S$149-S$150)*10)))</f>
        <v>0</v>
      </c>
      <c r="T20" s="138">
        <f t="shared" si="8"/>
        <v>0.59937129227970432</v>
      </c>
      <c r="U20" s="6">
        <f>IF('Indicator Data'!G22=5,10,IF('Indicator Data'!G22=4,8,IF('Indicator Data'!G22=3,5,IF('Indicator Data'!G22=2,2,IF('Indicator Data'!G22=1,1,0)))))</f>
        <v>0</v>
      </c>
      <c r="V20" s="4" t="str">
        <f>IF('Indicator Data'!H22="No data","x",IF('Indicator Data'!H22&gt;1000,10,IF('Indicator Data'!H22&gt;=500,9,IF('Indicator Data'!H22&gt;=240,8,IF('Indicator Data'!H22&gt;=120,7,IF('Indicator Data'!H22&gt;=60,6,IF('Indicator Data'!H22&gt;=20,5,IF('Indicator Data'!H22&gt;=10,4,IF('Indicator Data'!H22&gt;=5,3,0)))))))))</f>
        <v>x</v>
      </c>
      <c r="W20" s="6">
        <f t="shared" si="9"/>
        <v>0</v>
      </c>
      <c r="X20" s="4" t="str">
        <f>IF('Indicator Data'!K22="No data","x",IF('Indicator Data'!K22&gt;X$149,0,IF('Indicator Data'!K22&lt;X$150,10,(X$149-'Indicator Data'!K22)/(X$149-X$150)*10)))</f>
        <v>x</v>
      </c>
      <c r="Y20" s="6">
        <f t="shared" si="10"/>
        <v>0</v>
      </c>
      <c r="Z20" s="7">
        <f t="shared" si="11"/>
        <v>0</v>
      </c>
      <c r="AA20" s="139">
        <f t="shared" si="12"/>
        <v>0.29968564613985216</v>
      </c>
    </row>
    <row r="21" spans="1:27" s="11" customFormat="1" x14ac:dyDescent="0.25">
      <c r="A21" s="16" t="s">
        <v>365</v>
      </c>
      <c r="B21" s="11" t="s">
        <v>573</v>
      </c>
      <c r="C21" s="16" t="s">
        <v>366</v>
      </c>
      <c r="D21" s="4">
        <f>IF('Indicator Data'!D23="No data","x",IF('Indicator Data'!D23=0,0,IF(LOG('Indicator Data'!D23)&gt;D$149,10,IF(LOG('Indicator Data'!D23)&lt;D$150,0,10-(D$149-LOG('Indicator Data'!D23))/(D$149-D$150)*10))))</f>
        <v>2.9174022778796651</v>
      </c>
      <c r="E21" s="4">
        <f>IF('Indicator Data'!E23="No data","x",IF('Indicator Data'!E23=0,0,IF(LOG('Indicator Data'!E23)&gt;E$149,10,IF(LOG('Indicator Data'!E23)&lt;E$150,0,10-(E$149-LOG('Indicator Data'!E23))/(E$149-E$150)*10))))</f>
        <v>6.0027996955098262</v>
      </c>
      <c r="F21" s="4">
        <f>IF('Indicator Data'!F23="No data","x",IF('Indicator Data'!F23=0,0,IF(LOG('Indicator Data'!F23)&gt;F$149,10,IF(LOG('Indicator Data'!F23)&lt;F$150,0,10-(F$149-LOG('Indicator Data'!F23))/(F$149-F$150)*10))))</f>
        <v>0</v>
      </c>
      <c r="G21" s="135">
        <f t="shared" ref="G21:G84" si="16">IF(AND(E21="x",F21="x"),"x",AVERAGE(E21,E21,E21,F21))</f>
        <v>4.5020997716323699</v>
      </c>
      <c r="H21" s="54">
        <f>IF('Indicator Data'!D23="No data","x",'Indicator Data'!D23/'Indicator Data'!AN23)</f>
        <v>1.2548680225010819E-2</v>
      </c>
      <c r="I21" s="54">
        <f>IF('Indicator Data'!E23="No data","x",'Indicator Data'!E23/'Indicator Data'!$AN23)</f>
        <v>0.45508893393154021</v>
      </c>
      <c r="J21" s="54">
        <f>IF('Indicator Data'!F23="No data","x",'Indicator Data'!F23/'Indicator Data'!$AN23)</f>
        <v>0</v>
      </c>
      <c r="K21" s="4">
        <f t="shared" si="13"/>
        <v>0.62743401125054099</v>
      </c>
      <c r="L21" s="4">
        <f t="shared" si="14"/>
        <v>10</v>
      </c>
      <c r="M21" s="4">
        <f t="shared" si="15"/>
        <v>0</v>
      </c>
      <c r="N21" s="135">
        <f t="shared" ref="N21:N84" si="17">IF(AND(L21="x",M21="x"),"x",AVERAGE(L21,L21, L21,M21))</f>
        <v>7.5</v>
      </c>
      <c r="O21" s="6">
        <f t="shared" si="6"/>
        <v>1.8428751593307624</v>
      </c>
      <c r="P21" s="6">
        <f t="shared" si="0"/>
        <v>6.2258399536981459</v>
      </c>
      <c r="Q21" s="15">
        <f t="shared" si="7"/>
        <v>4.3822296457165519</v>
      </c>
      <c r="R21" s="4">
        <f>IF(VLOOKUP($B21,'Indicator Data (national)'!$B$5:$H$14,6,FALSE)="No data","x",IF(VLOOKUP($B21,'Indicator Data (national)'!$B$5:$H$14,6,FALSE)&gt;R$149,10,IF(VLOOKUP($B21,'Indicator Data (national)'!$B$5:$H$14,6,FALSE)&lt;R$150,0,10-(R$149-VLOOKUP($B21,'Indicator Data (national)'!$B$5:$H$14,6,FALSE))/(R$149-R$150)*10)))</f>
        <v>1.1664104494185921</v>
      </c>
      <c r="S21" s="4">
        <f>IF(VLOOKUP($B21,'Indicator Data (national)'!$B$5:$H$14,7,FALSE)="No data","x",IF(VLOOKUP($B21,'Indicator Data (national)'!$B$5:$H$14,7,FALSE)&gt;S$149,10,IF(VLOOKUP($B21,'Indicator Data (national)'!$B$5:$H$14,7,FALSE)&lt;S$150,0,10-(S$149-VLOOKUP($B21,'Indicator Data (national)'!$B$5:$H$14,7,FALSE))/(S$149-S$150)*10)))</f>
        <v>0</v>
      </c>
      <c r="T21" s="138">
        <f t="shared" si="8"/>
        <v>0.59937129227970432</v>
      </c>
      <c r="U21" s="6">
        <f>IF('Indicator Data'!G23=5,10,IF('Indicator Data'!G23=4,8,IF('Indicator Data'!G23=3,5,IF('Indicator Data'!G23=2,2,IF('Indicator Data'!G23=1,1,0)))))</f>
        <v>0</v>
      </c>
      <c r="V21" s="4" t="str">
        <f>IF('Indicator Data'!H23="No data","x",IF('Indicator Data'!H23&gt;1000,10,IF('Indicator Data'!H23&gt;=500,9,IF('Indicator Data'!H23&gt;=240,8,IF('Indicator Data'!H23&gt;=120,7,IF('Indicator Data'!H23&gt;=60,6,IF('Indicator Data'!H23&gt;=20,5,IF('Indicator Data'!H23&gt;=10,4,IF('Indicator Data'!H23&gt;=5,3,0)))))))))</f>
        <v>x</v>
      </c>
      <c r="W21" s="6">
        <f t="shared" si="9"/>
        <v>0</v>
      </c>
      <c r="X21" s="4" t="str">
        <f>IF('Indicator Data'!K23="No data","x",IF('Indicator Data'!K23&gt;X$149,0,IF('Indicator Data'!K23&lt;X$150,10,(X$149-'Indicator Data'!K23)/(X$149-X$150)*10)))</f>
        <v>x</v>
      </c>
      <c r="Y21" s="6">
        <f t="shared" si="10"/>
        <v>0</v>
      </c>
      <c r="Z21" s="7">
        <f t="shared" si="11"/>
        <v>0</v>
      </c>
      <c r="AA21" s="139">
        <f t="shared" si="12"/>
        <v>0.29968564613985216</v>
      </c>
    </row>
    <row r="22" spans="1:27" s="11" customFormat="1" x14ac:dyDescent="0.25">
      <c r="A22" s="16" t="s">
        <v>362</v>
      </c>
      <c r="B22" s="11" t="s">
        <v>573</v>
      </c>
      <c r="C22" s="16" t="s">
        <v>367</v>
      </c>
      <c r="D22" s="4">
        <f>IF('Indicator Data'!D24="No data","x",IF('Indicator Data'!D24=0,0,IF(LOG('Indicator Data'!D24)&gt;D$149,10,IF(LOG('Indicator Data'!D24)&lt;D$150,0,10-(D$149-LOG('Indicator Data'!D24))/(D$149-D$150)*10))))</f>
        <v>6.6054404901038222</v>
      </c>
      <c r="E22" s="4">
        <f>IF('Indicator Data'!E24="No data","x",IF('Indicator Data'!E24=0,0,IF(LOG('Indicator Data'!E24)&gt;E$149,10,IF(LOG('Indicator Data'!E24)&lt;E$150,0,10-(E$149-LOG('Indicator Data'!E24))/(E$149-E$150)*10))))</f>
        <v>7.2812805678690351</v>
      </c>
      <c r="F22" s="4">
        <f>IF('Indicator Data'!F24="No data","x",IF('Indicator Data'!F24=0,0,IF(LOG('Indicator Data'!F24)&gt;F$149,10,IF(LOG('Indicator Data'!F24)&lt;F$150,0,10-(F$149-LOG('Indicator Data'!F24))/(F$149-F$150)*10))))</f>
        <v>0</v>
      </c>
      <c r="G22" s="135">
        <f t="shared" si="16"/>
        <v>5.4609604259017761</v>
      </c>
      <c r="H22" s="54">
        <f>IF('Indicator Data'!D24="No data","x",'Indicator Data'!D24/'Indicator Data'!AN24)</f>
        <v>0.92231589474561482</v>
      </c>
      <c r="I22" s="54">
        <f>IF('Indicator Data'!E24="No data","x",'Indicator Data'!E24/'Indicator Data'!$AN24)</f>
        <v>0.51267210864063228</v>
      </c>
      <c r="J22" s="54">
        <f>IF('Indicator Data'!F24="No data","x",'Indicator Data'!F24/'Indicator Data'!$AN24)</f>
        <v>0</v>
      </c>
      <c r="K22" s="4">
        <f t="shared" si="13"/>
        <v>10</v>
      </c>
      <c r="L22" s="4">
        <f t="shared" si="14"/>
        <v>10</v>
      </c>
      <c r="M22" s="4">
        <f t="shared" si="15"/>
        <v>0</v>
      </c>
      <c r="N22" s="135">
        <f t="shared" si="17"/>
        <v>7.5</v>
      </c>
      <c r="O22" s="6">
        <f t="shared" si="6"/>
        <v>8.8736347000604603</v>
      </c>
      <c r="P22" s="6">
        <f t="shared" si="0"/>
        <v>6.5941074672326287</v>
      </c>
      <c r="Q22" s="15">
        <f t="shared" si="7"/>
        <v>7.9320091778903565</v>
      </c>
      <c r="R22" s="4">
        <f>IF(VLOOKUP($B22,'Indicator Data (national)'!$B$5:$H$14,6,FALSE)="No data","x",IF(VLOOKUP($B22,'Indicator Data (national)'!$B$5:$H$14,6,FALSE)&gt;R$149,10,IF(VLOOKUP($B22,'Indicator Data (national)'!$B$5:$H$14,6,FALSE)&lt;R$150,0,10-(R$149-VLOOKUP($B22,'Indicator Data (national)'!$B$5:$H$14,6,FALSE))/(R$149-R$150)*10)))</f>
        <v>1.1664104494185921</v>
      </c>
      <c r="S22" s="4">
        <f>IF(VLOOKUP($B22,'Indicator Data (national)'!$B$5:$H$14,7,FALSE)="No data","x",IF(VLOOKUP($B22,'Indicator Data (national)'!$B$5:$H$14,7,FALSE)&gt;S$149,10,IF(VLOOKUP($B22,'Indicator Data (national)'!$B$5:$H$14,7,FALSE)&lt;S$150,0,10-(S$149-VLOOKUP($B22,'Indicator Data (national)'!$B$5:$H$14,7,FALSE))/(S$149-S$150)*10)))</f>
        <v>0</v>
      </c>
      <c r="T22" s="138">
        <f t="shared" si="8"/>
        <v>0.59937129227970432</v>
      </c>
      <c r="U22" s="6">
        <f>IF('Indicator Data'!G24=5,10,IF('Indicator Data'!G24=4,8,IF('Indicator Data'!G24=3,5,IF('Indicator Data'!G24=2,2,IF('Indicator Data'!G24=1,1,0)))))</f>
        <v>0</v>
      </c>
      <c r="V22" s="4">
        <f>IF('Indicator Data'!H24="No data","x",IF('Indicator Data'!H24&gt;1000,10,IF('Indicator Data'!H24&gt;=500,9,IF('Indicator Data'!H24&gt;=240,8,IF('Indicator Data'!H24&gt;=120,7,IF('Indicator Data'!H24&gt;=60,6,IF('Indicator Data'!H24&gt;=20,5,IF('Indicator Data'!H24&gt;=10,4,IF('Indicator Data'!H24&gt;=5,3,0)))))))))</f>
        <v>0</v>
      </c>
      <c r="W22" s="6">
        <f t="shared" si="9"/>
        <v>0</v>
      </c>
      <c r="X22" s="4" t="str">
        <f>IF('Indicator Data'!K24="No data","x",IF('Indicator Data'!K24&gt;X$149,0,IF('Indicator Data'!K24&lt;X$150,10,(X$149-'Indicator Data'!K24)/(X$149-X$150)*10)))</f>
        <v>x</v>
      </c>
      <c r="Y22" s="6">
        <f t="shared" si="10"/>
        <v>0</v>
      </c>
      <c r="Z22" s="7">
        <f t="shared" si="11"/>
        <v>0</v>
      </c>
      <c r="AA22" s="139">
        <f t="shared" si="12"/>
        <v>0.29968564613985216</v>
      </c>
    </row>
    <row r="23" spans="1:27" s="11" customFormat="1" x14ac:dyDescent="0.25">
      <c r="A23" s="16" t="s">
        <v>368</v>
      </c>
      <c r="B23" s="11" t="s">
        <v>573</v>
      </c>
      <c r="C23" s="16" t="s">
        <v>369</v>
      </c>
      <c r="D23" s="4">
        <f>IF('Indicator Data'!D25="No data","x",IF('Indicator Data'!D25=0,0,IF(LOG('Indicator Data'!D25)&gt;D$149,10,IF(LOG('Indicator Data'!D25)&lt;D$150,0,10-(D$149-LOG('Indicator Data'!D25))/(D$149-D$150)*10))))</f>
        <v>0</v>
      </c>
      <c r="E23" s="4">
        <f>IF('Indicator Data'!E25="No data","x",IF('Indicator Data'!E25=0,0,IF(LOG('Indicator Data'!E25)&gt;E$149,10,IF(LOG('Indicator Data'!E25)&lt;E$150,0,10-(E$149-LOG('Indicator Data'!E25))/(E$149-E$150)*10))))</f>
        <v>5.167341685943148</v>
      </c>
      <c r="F23" s="4">
        <f>IF('Indicator Data'!F25="No data","x",IF('Indicator Data'!F25=0,0,IF(LOG('Indicator Data'!F25)&gt;F$149,10,IF(LOG('Indicator Data'!F25)&lt;F$150,0,10-(F$149-LOG('Indicator Data'!F25))/(F$149-F$150)*10))))</f>
        <v>0</v>
      </c>
      <c r="G23" s="135">
        <f t="shared" si="16"/>
        <v>3.875506264457361</v>
      </c>
      <c r="H23" s="54">
        <f>IF('Indicator Data'!D25="No data","x",'Indicator Data'!D25/'Indicator Data'!AN25)</f>
        <v>0</v>
      </c>
      <c r="I23" s="54">
        <f>IF('Indicator Data'!E25="No data","x",'Indicator Data'!E25/'Indicator Data'!$AN25)</f>
        <v>0.51040991574854178</v>
      </c>
      <c r="J23" s="54">
        <f>IF('Indicator Data'!F25="No data","x",'Indicator Data'!F25/'Indicator Data'!$AN25)</f>
        <v>0</v>
      </c>
      <c r="K23" s="4">
        <f t="shared" si="13"/>
        <v>0</v>
      </c>
      <c r="L23" s="4">
        <f t="shared" si="14"/>
        <v>10</v>
      </c>
      <c r="M23" s="4">
        <f t="shared" si="15"/>
        <v>0</v>
      </c>
      <c r="N23" s="135">
        <f t="shared" si="17"/>
        <v>7.5</v>
      </c>
      <c r="O23" s="6">
        <f t="shared" si="6"/>
        <v>0</v>
      </c>
      <c r="P23" s="6">
        <f t="shared" si="0"/>
        <v>5.9994995200998416</v>
      </c>
      <c r="Q23" s="15">
        <f t="shared" si="7"/>
        <v>3.5748199579927773</v>
      </c>
      <c r="R23" s="4">
        <f>IF(VLOOKUP($B23,'Indicator Data (national)'!$B$5:$H$14,6,FALSE)="No data","x",IF(VLOOKUP($B23,'Indicator Data (national)'!$B$5:$H$14,6,FALSE)&gt;R$149,10,IF(VLOOKUP($B23,'Indicator Data (national)'!$B$5:$H$14,6,FALSE)&lt;R$150,0,10-(R$149-VLOOKUP($B23,'Indicator Data (national)'!$B$5:$H$14,6,FALSE))/(R$149-R$150)*10)))</f>
        <v>1.1664104494185921</v>
      </c>
      <c r="S23" s="4">
        <f>IF(VLOOKUP($B23,'Indicator Data (national)'!$B$5:$H$14,7,FALSE)="No data","x",IF(VLOOKUP($B23,'Indicator Data (national)'!$B$5:$H$14,7,FALSE)&gt;S$149,10,IF(VLOOKUP($B23,'Indicator Data (national)'!$B$5:$H$14,7,FALSE)&lt;S$150,0,10-(S$149-VLOOKUP($B23,'Indicator Data (national)'!$B$5:$H$14,7,FALSE))/(S$149-S$150)*10)))</f>
        <v>0</v>
      </c>
      <c r="T23" s="138">
        <f t="shared" si="8"/>
        <v>0.59937129227970432</v>
      </c>
      <c r="U23" s="6">
        <f>IF('Indicator Data'!G25=5,10,IF('Indicator Data'!G25=4,8,IF('Indicator Data'!G25=3,5,IF('Indicator Data'!G25=2,2,IF('Indicator Data'!G25=1,1,0)))))</f>
        <v>0</v>
      </c>
      <c r="V23" s="4">
        <f>IF('Indicator Data'!H25="No data","x",IF('Indicator Data'!H25&gt;1000,10,IF('Indicator Data'!H25&gt;=500,9,IF('Indicator Data'!H25&gt;=240,8,IF('Indicator Data'!H25&gt;=120,7,IF('Indicator Data'!H25&gt;=60,6,IF('Indicator Data'!H25&gt;=20,5,IF('Indicator Data'!H25&gt;=10,4,IF('Indicator Data'!H25&gt;=5,3,0)))))))))</f>
        <v>0</v>
      </c>
      <c r="W23" s="6">
        <f t="shared" si="9"/>
        <v>0</v>
      </c>
      <c r="X23" s="4" t="str">
        <f>IF('Indicator Data'!K25="No data","x",IF('Indicator Data'!K25&gt;X$149,0,IF('Indicator Data'!K25&lt;X$150,10,(X$149-'Indicator Data'!K25)/(X$149-X$150)*10)))</f>
        <v>x</v>
      </c>
      <c r="Y23" s="6">
        <f t="shared" si="10"/>
        <v>0</v>
      </c>
      <c r="Z23" s="7">
        <f t="shared" si="11"/>
        <v>0</v>
      </c>
      <c r="AA23" s="139">
        <f t="shared" si="12"/>
        <v>0.29968564613985216</v>
      </c>
    </row>
    <row r="24" spans="1:27" s="11" customFormat="1" x14ac:dyDescent="0.25">
      <c r="A24" s="16" t="s">
        <v>370</v>
      </c>
      <c r="B24" s="11" t="s">
        <v>573</v>
      </c>
      <c r="C24" s="16" t="s">
        <v>371</v>
      </c>
      <c r="D24" s="4">
        <f>IF('Indicator Data'!D26="No data","x",IF('Indicator Data'!D26=0,0,IF(LOG('Indicator Data'!D26)&gt;D$149,10,IF(LOG('Indicator Data'!D26)&lt;D$150,0,10-(D$149-LOG('Indicator Data'!D26))/(D$149-D$150)*10))))</f>
        <v>1.86785148273316</v>
      </c>
      <c r="E24" s="4">
        <f>IF('Indicator Data'!E26="No data","x",IF('Indicator Data'!E26=0,0,IF(LOG('Indicator Data'!E26)&gt;E$149,10,IF(LOG('Indicator Data'!E26)&lt;E$150,0,10-(E$149-LOG('Indicator Data'!E26))/(E$149-E$150)*10))))</f>
        <v>6.4093028312237488</v>
      </c>
      <c r="F24" s="4">
        <f>IF('Indicator Data'!F26="No data","x",IF('Indicator Data'!F26=0,0,IF(LOG('Indicator Data'!F26)&gt;F$149,10,IF(LOG('Indicator Data'!F26)&lt;F$150,0,10-(F$149-LOG('Indicator Data'!F26))/(F$149-F$150)*10))))</f>
        <v>0</v>
      </c>
      <c r="G24" s="135">
        <f t="shared" si="16"/>
        <v>4.8069771234178118</v>
      </c>
      <c r="H24" s="54">
        <f>IF('Indicator Data'!D26="No data","x",'Indicator Data'!D26/'Indicator Data'!AN26)</f>
        <v>2.5733662927045699E-3</v>
      </c>
      <c r="I24" s="54">
        <f>IF('Indicator Data'!E26="No data","x",'Indicator Data'!E26/'Indicator Data'!$AN26)</f>
        <v>0.88835646827660519</v>
      </c>
      <c r="J24" s="54">
        <f>IF('Indicator Data'!F26="No data","x",'Indicator Data'!F26/'Indicator Data'!$AN26)</f>
        <v>0</v>
      </c>
      <c r="K24" s="4">
        <f t="shared" si="13"/>
        <v>0.12866831463522921</v>
      </c>
      <c r="L24" s="4">
        <f t="shared" si="14"/>
        <v>10</v>
      </c>
      <c r="M24" s="4">
        <f t="shared" si="15"/>
        <v>0</v>
      </c>
      <c r="N24" s="135">
        <f t="shared" si="17"/>
        <v>7.5</v>
      </c>
      <c r="O24" s="6">
        <f t="shared" si="6"/>
        <v>1.0357168199860349</v>
      </c>
      <c r="P24" s="6">
        <f t="shared" si="0"/>
        <v>6.3398504507727482</v>
      </c>
      <c r="Q24" s="15">
        <f t="shared" si="7"/>
        <v>4.1776897032748037</v>
      </c>
      <c r="R24" s="4">
        <f>IF(VLOOKUP($B24,'Indicator Data (national)'!$B$5:$H$14,6,FALSE)="No data","x",IF(VLOOKUP($B24,'Indicator Data (national)'!$B$5:$H$14,6,FALSE)&gt;R$149,10,IF(VLOOKUP($B24,'Indicator Data (national)'!$B$5:$H$14,6,FALSE)&lt;R$150,0,10-(R$149-VLOOKUP($B24,'Indicator Data (national)'!$B$5:$H$14,6,FALSE))/(R$149-R$150)*10)))</f>
        <v>1.1664104494185921</v>
      </c>
      <c r="S24" s="4">
        <f>IF(VLOOKUP($B24,'Indicator Data (national)'!$B$5:$H$14,7,FALSE)="No data","x",IF(VLOOKUP($B24,'Indicator Data (national)'!$B$5:$H$14,7,FALSE)&gt;S$149,10,IF(VLOOKUP($B24,'Indicator Data (national)'!$B$5:$H$14,7,FALSE)&lt;S$150,0,10-(S$149-VLOOKUP($B24,'Indicator Data (national)'!$B$5:$H$14,7,FALSE))/(S$149-S$150)*10)))</f>
        <v>0</v>
      </c>
      <c r="T24" s="138">
        <f t="shared" si="8"/>
        <v>0.59937129227970432</v>
      </c>
      <c r="U24" s="6">
        <f>IF('Indicator Data'!G26=5,10,IF('Indicator Data'!G26=4,8,IF('Indicator Data'!G26=3,5,IF('Indicator Data'!G26=2,2,IF('Indicator Data'!G26=1,1,0)))))</f>
        <v>0</v>
      </c>
      <c r="V24" s="4">
        <f>IF('Indicator Data'!H26="No data","x",IF('Indicator Data'!H26&gt;1000,10,IF('Indicator Data'!H26&gt;=500,9,IF('Indicator Data'!H26&gt;=240,8,IF('Indicator Data'!H26&gt;=120,7,IF('Indicator Data'!H26&gt;=60,6,IF('Indicator Data'!H26&gt;=20,5,IF('Indicator Data'!H26&gt;=10,4,IF('Indicator Data'!H26&gt;=5,3,0)))))))))</f>
        <v>3</v>
      </c>
      <c r="W24" s="6">
        <f t="shared" si="9"/>
        <v>3</v>
      </c>
      <c r="X24" s="4" t="str">
        <f>IF('Indicator Data'!K26="No data","x",IF('Indicator Data'!K26&gt;X$149,0,IF('Indicator Data'!K26&lt;X$150,10,(X$149-'Indicator Data'!K26)/(X$149-X$150)*10)))</f>
        <v>x</v>
      </c>
      <c r="Y24" s="6">
        <f t="shared" si="10"/>
        <v>0</v>
      </c>
      <c r="Z24" s="7">
        <f t="shared" si="11"/>
        <v>0.99</v>
      </c>
      <c r="AA24" s="139">
        <f t="shared" si="12"/>
        <v>1.799685646139852</v>
      </c>
    </row>
    <row r="25" spans="1:27" s="11" customFormat="1" x14ac:dyDescent="0.25">
      <c r="A25" s="16" t="s">
        <v>373</v>
      </c>
      <c r="B25" s="11" t="s">
        <v>574</v>
      </c>
      <c r="C25" s="16" t="s">
        <v>374</v>
      </c>
      <c r="D25" s="4">
        <f>IF('Indicator Data'!D27="No data","x",IF('Indicator Data'!D27=0,0,IF(LOG('Indicator Data'!D27)&gt;D$149,10,IF(LOG('Indicator Data'!D27)&lt;D$150,0,10-(D$149-LOG('Indicator Data'!D27))/(D$149-D$150)*10))))</f>
        <v>0</v>
      </c>
      <c r="E25" s="4">
        <f>IF('Indicator Data'!E27="No data","x",IF('Indicator Data'!E27=0,0,IF(LOG('Indicator Data'!E27)&gt;E$149,10,IF(LOG('Indicator Data'!E27)&lt;E$150,0,10-(E$149-LOG('Indicator Data'!E27))/(E$149-E$150)*10))))</f>
        <v>1.8621188260929404</v>
      </c>
      <c r="F25" s="4">
        <f>IF('Indicator Data'!F27="No data","x",IF('Indicator Data'!F27=0,0,IF(LOG('Indicator Data'!F27)&gt;F$149,10,IF(LOG('Indicator Data'!F27)&lt;F$150,0,10-(F$149-LOG('Indicator Data'!F27))/(F$149-F$150)*10))))</f>
        <v>0</v>
      </c>
      <c r="G25" s="135">
        <f t="shared" si="16"/>
        <v>1.3965891195697053</v>
      </c>
      <c r="H25" s="54">
        <f>IF('Indicator Data'!D27="No data","x",'Indicator Data'!D27/'Indicator Data'!AN27)</f>
        <v>0</v>
      </c>
      <c r="I25" s="54">
        <f>IF('Indicator Data'!E27="No data","x",'Indicator Data'!E27/'Indicator Data'!$AN27)</f>
        <v>1.448759264870795E-4</v>
      </c>
      <c r="J25" s="54">
        <f>IF('Indicator Data'!F27="No data","x",'Indicator Data'!F27/'Indicator Data'!$AN27)</f>
        <v>0</v>
      </c>
      <c r="K25" s="4">
        <f t="shared" si="13"/>
        <v>0</v>
      </c>
      <c r="L25" s="4">
        <f t="shared" si="14"/>
        <v>7.2437963243530135E-3</v>
      </c>
      <c r="M25" s="4">
        <f t="shared" si="15"/>
        <v>0</v>
      </c>
      <c r="N25" s="135">
        <f t="shared" si="17"/>
        <v>5.4328472432647601E-3</v>
      </c>
      <c r="O25" s="6">
        <f t="shared" si="6"/>
        <v>0</v>
      </c>
      <c r="P25" s="6">
        <f t="shared" si="0"/>
        <v>0.72427541753592251</v>
      </c>
      <c r="Q25" s="15">
        <f t="shared" si="7"/>
        <v>0.36823973125326737</v>
      </c>
      <c r="R25" s="4">
        <f>IF(VLOOKUP($B25,'Indicator Data (national)'!$B$5:$H$14,6,FALSE)="No data","x",IF(VLOOKUP($B25,'Indicator Data (national)'!$B$5:$H$14,6,FALSE)&gt;R$149,10,IF(VLOOKUP($B25,'Indicator Data (national)'!$B$5:$H$14,6,FALSE)&lt;R$150,0,10-(R$149-VLOOKUP($B25,'Indicator Data (national)'!$B$5:$H$14,6,FALSE))/(R$149-R$150)*10)))</f>
        <v>2.8635573594981478</v>
      </c>
      <c r="S25" s="4">
        <f>IF(VLOOKUP($B25,'Indicator Data (national)'!$B$5:$H$14,7,FALSE)="No data","x",IF(VLOOKUP($B25,'Indicator Data (national)'!$B$5:$H$14,7,FALSE)&gt;S$149,10,IF(VLOOKUP($B25,'Indicator Data (national)'!$B$5:$H$14,7,FALSE)&lt;S$150,0,10-(S$149-VLOOKUP($B25,'Indicator Data (national)'!$B$5:$H$14,7,FALSE))/(S$149-S$150)*10)))</f>
        <v>0.10684976860738793</v>
      </c>
      <c r="T25" s="138">
        <f t="shared" si="8"/>
        <v>1.5843993531593625</v>
      </c>
      <c r="U25" s="6">
        <f>IF('Indicator Data'!G27=5,10,IF('Indicator Data'!G27=4,8,IF('Indicator Data'!G27=3,5,IF('Indicator Data'!G27=2,2,IF('Indicator Data'!G27=1,1,0)))))</f>
        <v>0</v>
      </c>
      <c r="V25" s="4">
        <f>IF('Indicator Data'!H27="No data","x",IF('Indicator Data'!H27&gt;1000,10,IF('Indicator Data'!H27&gt;=500,9,IF('Indicator Data'!H27&gt;=240,8,IF('Indicator Data'!H27&gt;=120,7,IF('Indicator Data'!H27&gt;=60,6,IF('Indicator Data'!H27&gt;=20,5,IF('Indicator Data'!H27&gt;=10,4,IF('Indicator Data'!H27&gt;=5,3,0)))))))))</f>
        <v>4</v>
      </c>
      <c r="W25" s="6">
        <f t="shared" si="9"/>
        <v>4</v>
      </c>
      <c r="X25" s="4" t="str">
        <f>IF('Indicator Data'!K27="No data","x",IF('Indicator Data'!K27&gt;X$149,0,IF('Indicator Data'!K27&lt;X$150,10,(X$149-'Indicator Data'!K27)/(X$149-X$150)*10)))</f>
        <v>x</v>
      </c>
      <c r="Y25" s="6">
        <f t="shared" si="10"/>
        <v>0</v>
      </c>
      <c r="Z25" s="7">
        <f t="shared" si="11"/>
        <v>1.32</v>
      </c>
      <c r="AA25" s="139">
        <f t="shared" si="12"/>
        <v>2.7921996765796813</v>
      </c>
    </row>
    <row r="26" spans="1:27" s="11" customFormat="1" x14ac:dyDescent="0.25">
      <c r="A26" s="16" t="s">
        <v>375</v>
      </c>
      <c r="B26" s="11" t="s">
        <v>574</v>
      </c>
      <c r="C26" s="16" t="s">
        <v>376</v>
      </c>
      <c r="D26" s="4">
        <f>IF('Indicator Data'!D28="No data","x",IF('Indicator Data'!D28=0,0,IF(LOG('Indicator Data'!D28)&gt;D$149,10,IF(LOG('Indicator Data'!D28)&lt;D$150,0,10-(D$149-LOG('Indicator Data'!D28))/(D$149-D$150)*10))))</f>
        <v>3.1506786239155584</v>
      </c>
      <c r="E26" s="4">
        <f>IF('Indicator Data'!E28="No data","x",IF('Indicator Data'!E28=0,0,IF(LOG('Indicator Data'!E28)&gt;E$149,10,IF(LOG('Indicator Data'!E28)&lt;E$150,0,10-(E$149-LOG('Indicator Data'!E28))/(E$149-E$150)*10))))</f>
        <v>3.4640946967554873</v>
      </c>
      <c r="F26" s="4">
        <f>IF('Indicator Data'!F28="No data","x",IF('Indicator Data'!F28=0,0,IF(LOG('Indicator Data'!F28)&gt;F$149,10,IF(LOG('Indicator Data'!F28)&lt;F$150,0,10-(F$149-LOG('Indicator Data'!F28))/(F$149-F$150)*10))))</f>
        <v>0</v>
      </c>
      <c r="G26" s="135">
        <f t="shared" si="16"/>
        <v>2.5980710225666153</v>
      </c>
      <c r="H26" s="54">
        <f>IF('Indicator Data'!D28="No data","x",'Indicator Data'!D28/'Indicator Data'!AN28)</f>
        <v>9.782195307471769E-4</v>
      </c>
      <c r="I26" s="54">
        <f>IF('Indicator Data'!E28="No data","x",'Indicator Data'!E28/'Indicator Data'!$AN28)</f>
        <v>7.3016012326175572E-4</v>
      </c>
      <c r="J26" s="54">
        <f>IF('Indicator Data'!F28="No data","x",'Indicator Data'!F28/'Indicator Data'!$AN28)</f>
        <v>0</v>
      </c>
      <c r="K26" s="4">
        <f t="shared" si="13"/>
        <v>4.8910976537358763E-2</v>
      </c>
      <c r="L26" s="4">
        <f t="shared" si="14"/>
        <v>3.6508006163089135E-2</v>
      </c>
      <c r="M26" s="4">
        <f t="shared" si="15"/>
        <v>0</v>
      </c>
      <c r="N26" s="135">
        <f t="shared" si="17"/>
        <v>2.7381004622316851E-2</v>
      </c>
      <c r="O26" s="6">
        <f t="shared" si="6"/>
        <v>1.7270875960553274</v>
      </c>
      <c r="P26" s="6">
        <f t="shared" si="0"/>
        <v>1.3973971598385779</v>
      </c>
      <c r="Q26" s="15">
        <f t="shared" si="7"/>
        <v>1.5636653722096896</v>
      </c>
      <c r="R26" s="4">
        <f>IF(VLOOKUP($B26,'Indicator Data (national)'!$B$5:$H$14,6,FALSE)="No data","x",IF(VLOOKUP($B26,'Indicator Data (national)'!$B$5:$H$14,6,FALSE)&gt;R$149,10,IF(VLOOKUP($B26,'Indicator Data (national)'!$B$5:$H$14,6,FALSE)&lt;R$150,0,10-(R$149-VLOOKUP($B26,'Indicator Data (national)'!$B$5:$H$14,6,FALSE))/(R$149-R$150)*10)))</f>
        <v>2.8635573594981478</v>
      </c>
      <c r="S26" s="4">
        <f>IF(VLOOKUP($B26,'Indicator Data (national)'!$B$5:$H$14,7,FALSE)="No data","x",IF(VLOOKUP($B26,'Indicator Data (national)'!$B$5:$H$14,7,FALSE)&gt;S$149,10,IF(VLOOKUP($B26,'Indicator Data (national)'!$B$5:$H$14,7,FALSE)&lt;S$150,0,10-(S$149-VLOOKUP($B26,'Indicator Data (national)'!$B$5:$H$14,7,FALSE))/(S$149-S$150)*10)))</f>
        <v>0.10684976860738793</v>
      </c>
      <c r="T26" s="138">
        <f t="shared" si="8"/>
        <v>1.5843993531593625</v>
      </c>
      <c r="U26" s="6">
        <f>IF('Indicator Data'!G28=5,10,IF('Indicator Data'!G28=4,8,IF('Indicator Data'!G28=3,5,IF('Indicator Data'!G28=2,2,IF('Indicator Data'!G28=1,1,0)))))</f>
        <v>0</v>
      </c>
      <c r="V26" s="4">
        <f>IF('Indicator Data'!H28="No data","x",IF('Indicator Data'!H28&gt;1000,10,IF('Indicator Data'!H28&gt;=500,9,IF('Indicator Data'!H28&gt;=240,8,IF('Indicator Data'!H28&gt;=120,7,IF('Indicator Data'!H28&gt;=60,6,IF('Indicator Data'!H28&gt;=20,5,IF('Indicator Data'!H28&gt;=10,4,IF('Indicator Data'!H28&gt;=5,3,0)))))))))</f>
        <v>6</v>
      </c>
      <c r="W26" s="6">
        <f t="shared" si="9"/>
        <v>6</v>
      </c>
      <c r="X26" s="4" t="str">
        <f>IF('Indicator Data'!K28="No data","x",IF('Indicator Data'!K28&gt;X$149,0,IF('Indicator Data'!K28&lt;X$150,10,(X$149-'Indicator Data'!K28)/(X$149-X$150)*10)))</f>
        <v>x</v>
      </c>
      <c r="Y26" s="6">
        <f t="shared" si="10"/>
        <v>0</v>
      </c>
      <c r="Z26" s="7">
        <f t="shared" si="11"/>
        <v>1.98</v>
      </c>
      <c r="AA26" s="139">
        <f t="shared" si="12"/>
        <v>3.7921996765796813</v>
      </c>
    </row>
    <row r="27" spans="1:27" s="11" customFormat="1" x14ac:dyDescent="0.25">
      <c r="A27" s="16" t="s">
        <v>377</v>
      </c>
      <c r="B27" s="11" t="s">
        <v>574</v>
      </c>
      <c r="C27" s="16" t="s">
        <v>378</v>
      </c>
      <c r="D27" s="4">
        <f>IF('Indicator Data'!D29="No data","x",IF('Indicator Data'!D29=0,0,IF(LOG('Indicator Data'!D29)&gt;D$149,10,IF(LOG('Indicator Data'!D29)&lt;D$150,0,10-(D$149-LOG('Indicator Data'!D29))/(D$149-D$150)*10))))</f>
        <v>0</v>
      </c>
      <c r="E27" s="4">
        <f>IF('Indicator Data'!E29="No data","x",IF('Indicator Data'!E29=0,0,IF(LOG('Indicator Data'!E29)&gt;E$149,10,IF(LOG('Indicator Data'!E29)&lt;E$150,0,10-(E$149-LOG('Indicator Data'!E29))/(E$149-E$150)*10))))</f>
        <v>3.9387263408061566</v>
      </c>
      <c r="F27" s="4">
        <f>IF('Indicator Data'!F29="No data","x",IF('Indicator Data'!F29=0,0,IF(LOG('Indicator Data'!F29)&gt;F$149,10,IF(LOG('Indicator Data'!F29)&lt;F$150,0,10-(F$149-LOG('Indicator Data'!F29))/(F$149-F$150)*10))))</f>
        <v>0</v>
      </c>
      <c r="G27" s="135">
        <f t="shared" si="16"/>
        <v>2.9540447556046177</v>
      </c>
      <c r="H27" s="54">
        <f>IF('Indicator Data'!D29="No data","x",'Indicator Data'!D29/'Indicator Data'!AN29)</f>
        <v>3.817230980646639E-5</v>
      </c>
      <c r="I27" s="54">
        <f>IF('Indicator Data'!E29="No data","x",'Indicator Data'!E29/'Indicator Data'!$AN29)</f>
        <v>1.7620338206664886E-2</v>
      </c>
      <c r="J27" s="54">
        <f>IF('Indicator Data'!F29="No data","x",'Indicator Data'!F29/'Indicator Data'!$AN29)</f>
        <v>0</v>
      </c>
      <c r="K27" s="4">
        <f t="shared" si="13"/>
        <v>1.9086154903220631E-3</v>
      </c>
      <c r="L27" s="4">
        <f t="shared" si="14"/>
        <v>0.88101691033324414</v>
      </c>
      <c r="M27" s="4">
        <f t="shared" si="15"/>
        <v>0</v>
      </c>
      <c r="N27" s="135">
        <f t="shared" si="17"/>
        <v>0.66076268274993311</v>
      </c>
      <c r="O27" s="6">
        <f t="shared" si="6"/>
        <v>9.5434873032947576E-4</v>
      </c>
      <c r="P27" s="6">
        <f t="shared" si="0"/>
        <v>1.8783333292999891</v>
      </c>
      <c r="Q27" s="15">
        <f t="shared" si="7"/>
        <v>0.98305065966494742</v>
      </c>
      <c r="R27" s="4">
        <f>IF(VLOOKUP($B27,'Indicator Data (national)'!$B$5:$H$14,6,FALSE)="No data","x",IF(VLOOKUP($B27,'Indicator Data (national)'!$B$5:$H$14,6,FALSE)&gt;R$149,10,IF(VLOOKUP($B27,'Indicator Data (national)'!$B$5:$H$14,6,FALSE)&lt;R$150,0,10-(R$149-VLOOKUP($B27,'Indicator Data (national)'!$B$5:$H$14,6,FALSE))/(R$149-R$150)*10)))</f>
        <v>2.8635573594981478</v>
      </c>
      <c r="S27" s="4">
        <f>IF(VLOOKUP($B27,'Indicator Data (national)'!$B$5:$H$14,7,FALSE)="No data","x",IF(VLOOKUP($B27,'Indicator Data (national)'!$B$5:$H$14,7,FALSE)&gt;S$149,10,IF(VLOOKUP($B27,'Indicator Data (national)'!$B$5:$H$14,7,FALSE)&lt;S$150,0,10-(S$149-VLOOKUP($B27,'Indicator Data (national)'!$B$5:$H$14,7,FALSE))/(S$149-S$150)*10)))</f>
        <v>0.10684976860738793</v>
      </c>
      <c r="T27" s="138">
        <f t="shared" si="8"/>
        <v>1.5843993531593625</v>
      </c>
      <c r="U27" s="6">
        <f>IF('Indicator Data'!G29=5,10,IF('Indicator Data'!G29=4,8,IF('Indicator Data'!G29=3,5,IF('Indicator Data'!G29=2,2,IF('Indicator Data'!G29=1,1,0)))))</f>
        <v>0</v>
      </c>
      <c r="V27" s="4">
        <f>IF('Indicator Data'!H29="No data","x",IF('Indicator Data'!H29&gt;1000,10,IF('Indicator Data'!H29&gt;=500,9,IF('Indicator Data'!H29&gt;=240,8,IF('Indicator Data'!H29&gt;=120,7,IF('Indicator Data'!H29&gt;=60,6,IF('Indicator Data'!H29&gt;=20,5,IF('Indicator Data'!H29&gt;=10,4,IF('Indicator Data'!H29&gt;=5,3,0)))))))))</f>
        <v>0</v>
      </c>
      <c r="W27" s="6">
        <f t="shared" si="9"/>
        <v>0</v>
      </c>
      <c r="X27" s="4" t="str">
        <f>IF('Indicator Data'!K29="No data","x",IF('Indicator Data'!K29&gt;X$149,0,IF('Indicator Data'!K29&lt;X$150,10,(X$149-'Indicator Data'!K29)/(X$149-X$150)*10)))</f>
        <v>x</v>
      </c>
      <c r="Y27" s="6">
        <f t="shared" si="10"/>
        <v>0</v>
      </c>
      <c r="Z27" s="7">
        <f t="shared" si="11"/>
        <v>0</v>
      </c>
      <c r="AA27" s="139">
        <f t="shared" si="12"/>
        <v>0.79219967657968127</v>
      </c>
    </row>
    <row r="28" spans="1:27" s="11" customFormat="1" x14ac:dyDescent="0.25">
      <c r="A28" s="16" t="s">
        <v>379</v>
      </c>
      <c r="B28" s="11" t="s">
        <v>574</v>
      </c>
      <c r="C28" s="16" t="s">
        <v>380</v>
      </c>
      <c r="D28" s="4">
        <f>IF('Indicator Data'!D30="No data","x",IF('Indicator Data'!D30=0,0,IF(LOG('Indicator Data'!D30)&gt;D$149,10,IF(LOG('Indicator Data'!D30)&lt;D$150,0,10-(D$149-LOG('Indicator Data'!D30))/(D$149-D$150)*10))))</f>
        <v>3.9949079411573916</v>
      </c>
      <c r="E28" s="4">
        <f>IF('Indicator Data'!E30="No data","x",IF('Indicator Data'!E30=0,0,IF(LOG('Indicator Data'!E30)&gt;E$149,10,IF(LOG('Indicator Data'!E30)&lt;E$150,0,10-(E$149-LOG('Indicator Data'!E30))/(E$149-E$150)*10))))</f>
        <v>2.2600430953218709</v>
      </c>
      <c r="F28" s="4">
        <f>IF('Indicator Data'!F30="No data","x",IF('Indicator Data'!F30=0,0,IF(LOG('Indicator Data'!F30)&gt;F$149,10,IF(LOG('Indicator Data'!F30)&lt;F$150,0,10-(F$149-LOG('Indicator Data'!F30))/(F$149-F$150)*10))))</f>
        <v>0</v>
      </c>
      <c r="G28" s="135">
        <f t="shared" si="16"/>
        <v>1.6950323214914031</v>
      </c>
      <c r="H28" s="54">
        <f>IF('Indicator Data'!D30="No data","x",'Indicator Data'!D30/'Indicator Data'!AN30)</f>
        <v>4.4923816873351161E-3</v>
      </c>
      <c r="I28" s="54">
        <f>IF('Indicator Data'!E30="No data","x",'Indicator Data'!E30/'Indicator Data'!$AN30)</f>
        <v>1.629547208413345E-4</v>
      </c>
      <c r="J28" s="54">
        <f>IF('Indicator Data'!F30="No data","x",'Indicator Data'!F30/'Indicator Data'!$AN30)</f>
        <v>0</v>
      </c>
      <c r="K28" s="4">
        <f t="shared" si="13"/>
        <v>0.22461908436675593</v>
      </c>
      <c r="L28" s="4">
        <f t="shared" si="14"/>
        <v>8.1477360420656453E-3</v>
      </c>
      <c r="M28" s="4">
        <f t="shared" si="15"/>
        <v>0</v>
      </c>
      <c r="N28" s="135">
        <f t="shared" si="17"/>
        <v>6.110802031549234E-3</v>
      </c>
      <c r="O28" s="6">
        <f t="shared" si="6"/>
        <v>2.3093789480426361</v>
      </c>
      <c r="P28" s="6">
        <f t="shared" si="0"/>
        <v>0.88538092353798459</v>
      </c>
      <c r="Q28" s="15">
        <f t="shared" si="7"/>
        <v>1.6240600264577449</v>
      </c>
      <c r="R28" s="4">
        <f>IF(VLOOKUP($B28,'Indicator Data (national)'!$B$5:$H$14,6,FALSE)="No data","x",IF(VLOOKUP($B28,'Indicator Data (national)'!$B$5:$H$14,6,FALSE)&gt;R$149,10,IF(VLOOKUP($B28,'Indicator Data (national)'!$B$5:$H$14,6,FALSE)&lt;R$150,0,10-(R$149-VLOOKUP($B28,'Indicator Data (national)'!$B$5:$H$14,6,FALSE))/(R$149-R$150)*10)))</f>
        <v>2.8635573594981478</v>
      </c>
      <c r="S28" s="4">
        <f>IF(VLOOKUP($B28,'Indicator Data (national)'!$B$5:$H$14,7,FALSE)="No data","x",IF(VLOOKUP($B28,'Indicator Data (national)'!$B$5:$H$14,7,FALSE)&gt;S$149,10,IF(VLOOKUP($B28,'Indicator Data (national)'!$B$5:$H$14,7,FALSE)&lt;S$150,0,10-(S$149-VLOOKUP($B28,'Indicator Data (national)'!$B$5:$H$14,7,FALSE))/(S$149-S$150)*10)))</f>
        <v>0.10684976860738793</v>
      </c>
      <c r="T28" s="138">
        <f t="shared" si="8"/>
        <v>1.5843993531593625</v>
      </c>
      <c r="U28" s="6">
        <f>IF('Indicator Data'!G30=5,10,IF('Indicator Data'!G30=4,8,IF('Indicator Data'!G30=3,5,IF('Indicator Data'!G30=2,2,IF('Indicator Data'!G30=1,1,0)))))</f>
        <v>0</v>
      </c>
      <c r="V28" s="4">
        <f>IF('Indicator Data'!H30="No data","x",IF('Indicator Data'!H30&gt;1000,10,IF('Indicator Data'!H30&gt;=500,9,IF('Indicator Data'!H30&gt;=240,8,IF('Indicator Data'!H30&gt;=120,7,IF('Indicator Data'!H30&gt;=60,6,IF('Indicator Data'!H30&gt;=20,5,IF('Indicator Data'!H30&gt;=10,4,IF('Indicator Data'!H30&gt;=5,3,0)))))))))</f>
        <v>0</v>
      </c>
      <c r="W28" s="6">
        <f t="shared" si="9"/>
        <v>0</v>
      </c>
      <c r="X28" s="4" t="str">
        <f>IF('Indicator Data'!K30="No data","x",IF('Indicator Data'!K30&gt;X$149,0,IF('Indicator Data'!K30&lt;X$150,10,(X$149-'Indicator Data'!K30)/(X$149-X$150)*10)))</f>
        <v>x</v>
      </c>
      <c r="Y28" s="6">
        <f t="shared" si="10"/>
        <v>0</v>
      </c>
      <c r="Z28" s="7">
        <f t="shared" si="11"/>
        <v>0</v>
      </c>
      <c r="AA28" s="139">
        <f t="shared" si="12"/>
        <v>0.79219967657968127</v>
      </c>
    </row>
    <row r="29" spans="1:27" s="11" customFormat="1" x14ac:dyDescent="0.25">
      <c r="A29" s="16" t="s">
        <v>381</v>
      </c>
      <c r="B29" s="11" t="s">
        <v>574</v>
      </c>
      <c r="C29" s="16" t="s">
        <v>382</v>
      </c>
      <c r="D29" s="4">
        <f>IF('Indicator Data'!D31="No data","x",IF('Indicator Data'!D31=0,0,IF(LOG('Indicator Data'!D31)&gt;D$149,10,IF(LOG('Indicator Data'!D31)&lt;D$150,0,10-(D$149-LOG('Indicator Data'!D31))/(D$149-D$150)*10))))</f>
        <v>0</v>
      </c>
      <c r="E29" s="4">
        <f>IF('Indicator Data'!E31="No data","x",IF('Indicator Data'!E31=0,0,IF(LOG('Indicator Data'!E31)&gt;E$149,10,IF(LOG('Indicator Data'!E31)&lt;E$150,0,10-(E$149-LOG('Indicator Data'!E31))/(E$149-E$150)*10))))</f>
        <v>0</v>
      </c>
      <c r="F29" s="4">
        <f>IF('Indicator Data'!F31="No data","x",IF('Indicator Data'!F31=0,0,IF(LOG('Indicator Data'!F31)&gt;F$149,10,IF(LOG('Indicator Data'!F31)&lt;F$150,0,10-(F$149-LOG('Indicator Data'!F31))/(F$149-F$150)*10))))</f>
        <v>0</v>
      </c>
      <c r="G29" s="135">
        <f t="shared" si="16"/>
        <v>0</v>
      </c>
      <c r="H29" s="54">
        <f>IF('Indicator Data'!D31="No data","x",'Indicator Data'!D31/'Indicator Data'!AN31)</f>
        <v>0</v>
      </c>
      <c r="I29" s="54">
        <f>IF('Indicator Data'!E31="No data","x",'Indicator Data'!E31/'Indicator Data'!$AN31)</f>
        <v>0</v>
      </c>
      <c r="J29" s="54">
        <f>IF('Indicator Data'!F31="No data","x",'Indicator Data'!F31/'Indicator Data'!$AN31)</f>
        <v>0</v>
      </c>
      <c r="K29" s="4">
        <f t="shared" si="13"/>
        <v>0</v>
      </c>
      <c r="L29" s="4">
        <f t="shared" si="14"/>
        <v>0</v>
      </c>
      <c r="M29" s="4">
        <f t="shared" si="15"/>
        <v>0</v>
      </c>
      <c r="N29" s="135">
        <f t="shared" si="17"/>
        <v>0</v>
      </c>
      <c r="O29" s="6">
        <f t="shared" si="6"/>
        <v>0</v>
      </c>
      <c r="P29" s="6">
        <f t="shared" si="0"/>
        <v>0</v>
      </c>
      <c r="Q29" s="15">
        <f t="shared" si="7"/>
        <v>0</v>
      </c>
      <c r="R29" s="4">
        <f>IF(VLOOKUP($B29,'Indicator Data (national)'!$B$5:$H$14,6,FALSE)="No data","x",IF(VLOOKUP($B29,'Indicator Data (national)'!$B$5:$H$14,6,FALSE)&gt;R$149,10,IF(VLOOKUP($B29,'Indicator Data (national)'!$B$5:$H$14,6,FALSE)&lt;R$150,0,10-(R$149-VLOOKUP($B29,'Indicator Data (national)'!$B$5:$H$14,6,FALSE))/(R$149-R$150)*10)))</f>
        <v>2.8635573594981478</v>
      </c>
      <c r="S29" s="4">
        <f>IF(VLOOKUP($B29,'Indicator Data (national)'!$B$5:$H$14,7,FALSE)="No data","x",IF(VLOOKUP($B29,'Indicator Data (national)'!$B$5:$H$14,7,FALSE)&gt;S$149,10,IF(VLOOKUP($B29,'Indicator Data (national)'!$B$5:$H$14,7,FALSE)&lt;S$150,0,10-(S$149-VLOOKUP($B29,'Indicator Data (national)'!$B$5:$H$14,7,FALSE))/(S$149-S$150)*10)))</f>
        <v>0.10684976860738793</v>
      </c>
      <c r="T29" s="138">
        <f t="shared" si="8"/>
        <v>1.5843993531593625</v>
      </c>
      <c r="U29" s="6">
        <f>IF('Indicator Data'!G31=5,10,IF('Indicator Data'!G31=4,8,IF('Indicator Data'!G31=3,5,IF('Indicator Data'!G31=2,2,IF('Indicator Data'!G31=1,1,0)))))</f>
        <v>0</v>
      </c>
      <c r="V29" s="4">
        <f>IF('Indicator Data'!H31="No data","x",IF('Indicator Data'!H31&gt;1000,10,IF('Indicator Data'!H31&gt;=500,9,IF('Indicator Data'!H31&gt;=240,8,IF('Indicator Data'!H31&gt;=120,7,IF('Indicator Data'!H31&gt;=60,6,IF('Indicator Data'!H31&gt;=20,5,IF('Indicator Data'!H31&gt;=10,4,IF('Indicator Data'!H31&gt;=5,3,0)))))))))</f>
        <v>0</v>
      </c>
      <c r="W29" s="6">
        <f t="shared" si="9"/>
        <v>0</v>
      </c>
      <c r="X29" s="4" t="str">
        <f>IF('Indicator Data'!K31="No data","x",IF('Indicator Data'!K31&gt;X$149,0,IF('Indicator Data'!K31&lt;X$150,10,(X$149-'Indicator Data'!K31)/(X$149-X$150)*10)))</f>
        <v>x</v>
      </c>
      <c r="Y29" s="6">
        <f t="shared" si="10"/>
        <v>0</v>
      </c>
      <c r="Z29" s="7">
        <f t="shared" si="11"/>
        <v>0</v>
      </c>
      <c r="AA29" s="139">
        <f t="shared" si="12"/>
        <v>0.79219967657968127</v>
      </c>
    </row>
    <row r="30" spans="1:27" s="11" customFormat="1" x14ac:dyDescent="0.25">
      <c r="A30" s="16" t="s">
        <v>383</v>
      </c>
      <c r="B30" s="11" t="s">
        <v>574</v>
      </c>
      <c r="C30" s="16" t="s">
        <v>384</v>
      </c>
      <c r="D30" s="4">
        <f>IF('Indicator Data'!D32="No data","x",IF('Indicator Data'!D32=0,0,IF(LOG('Indicator Data'!D32)&gt;D$149,10,IF(LOG('Indicator Data'!D32)&lt;D$150,0,10-(D$149-LOG('Indicator Data'!D32))/(D$149-D$150)*10))))</f>
        <v>2.9406086063671495</v>
      </c>
      <c r="E30" s="4">
        <f>IF('Indicator Data'!E32="No data","x",IF('Indicator Data'!E32=0,0,IF(LOG('Indicator Data'!E32)&gt;E$149,10,IF(LOG('Indicator Data'!E32)&lt;E$150,0,10-(E$149-LOG('Indicator Data'!E32))/(E$149-E$150)*10))))</f>
        <v>4.3400165540203837</v>
      </c>
      <c r="F30" s="4">
        <f>IF('Indicator Data'!F32="No data","x",IF('Indicator Data'!F32=0,0,IF(LOG('Indicator Data'!F32)&gt;F$149,10,IF(LOG('Indicator Data'!F32)&lt;F$150,0,10-(F$149-LOG('Indicator Data'!F32))/(F$149-F$150)*10))))</f>
        <v>0</v>
      </c>
      <c r="G30" s="135">
        <f t="shared" si="16"/>
        <v>3.2550124155152877</v>
      </c>
      <c r="H30" s="54">
        <f>IF('Indicator Data'!D32="No data","x",'Indicator Data'!D32/'Indicator Data'!AN32)</f>
        <v>1.1463638021600539E-3</v>
      </c>
      <c r="I30" s="54">
        <f>IF('Indicator Data'!E32="No data","x",'Indicator Data'!E32/'Indicator Data'!$AN32)</f>
        <v>4.0263022352090005E-3</v>
      </c>
      <c r="J30" s="54">
        <f>IF('Indicator Data'!F32="No data","x",'Indicator Data'!F32/'Indicator Data'!$AN32)</f>
        <v>0</v>
      </c>
      <c r="K30" s="4">
        <f t="shared" si="13"/>
        <v>5.7318190108002653E-2</v>
      </c>
      <c r="L30" s="4">
        <f t="shared" si="14"/>
        <v>0.20131511176044903</v>
      </c>
      <c r="M30" s="4">
        <f t="shared" si="15"/>
        <v>0</v>
      </c>
      <c r="N30" s="135">
        <f t="shared" si="17"/>
        <v>0.15098633382033677</v>
      </c>
      <c r="O30" s="6">
        <f t="shared" si="6"/>
        <v>1.6076884251533308</v>
      </c>
      <c r="P30" s="6">
        <f t="shared" si="0"/>
        <v>1.8318965987484661</v>
      </c>
      <c r="Q30" s="15">
        <f t="shared" si="7"/>
        <v>1.7204616285323995</v>
      </c>
      <c r="R30" s="4">
        <f>IF(VLOOKUP($B30,'Indicator Data (national)'!$B$5:$H$14,6,FALSE)="No data","x",IF(VLOOKUP($B30,'Indicator Data (national)'!$B$5:$H$14,6,FALSE)&gt;R$149,10,IF(VLOOKUP($B30,'Indicator Data (national)'!$B$5:$H$14,6,FALSE)&lt;R$150,0,10-(R$149-VLOOKUP($B30,'Indicator Data (national)'!$B$5:$H$14,6,FALSE))/(R$149-R$150)*10)))</f>
        <v>2.8635573594981478</v>
      </c>
      <c r="S30" s="4">
        <f>IF(VLOOKUP($B30,'Indicator Data (national)'!$B$5:$H$14,7,FALSE)="No data","x",IF(VLOOKUP($B30,'Indicator Data (national)'!$B$5:$H$14,7,FALSE)&gt;S$149,10,IF(VLOOKUP($B30,'Indicator Data (national)'!$B$5:$H$14,7,FALSE)&lt;S$150,0,10-(S$149-VLOOKUP($B30,'Indicator Data (national)'!$B$5:$H$14,7,FALSE))/(S$149-S$150)*10)))</f>
        <v>0.10684976860738793</v>
      </c>
      <c r="T30" s="138">
        <f t="shared" si="8"/>
        <v>1.5843993531593625</v>
      </c>
      <c r="U30" s="6">
        <f>IF('Indicator Data'!G32=5,10,IF('Indicator Data'!G32=4,8,IF('Indicator Data'!G32=3,5,IF('Indicator Data'!G32=2,2,IF('Indicator Data'!G32=1,1,0)))))</f>
        <v>5</v>
      </c>
      <c r="V30" s="4" t="str">
        <f>IF('Indicator Data'!H32="No data","x",IF('Indicator Data'!H32&gt;1000,10,IF('Indicator Data'!H32&gt;=500,9,IF('Indicator Data'!H32&gt;=240,8,IF('Indicator Data'!H32&gt;=120,7,IF('Indicator Data'!H32&gt;=60,6,IF('Indicator Data'!H32&gt;=20,5,IF('Indicator Data'!H32&gt;=10,4,IF('Indicator Data'!H32&gt;=5,3,0)))))))))</f>
        <v>x</v>
      </c>
      <c r="W30" s="6">
        <f t="shared" si="9"/>
        <v>5</v>
      </c>
      <c r="X30" s="4" t="str">
        <f>IF('Indicator Data'!K32="No data","x",IF('Indicator Data'!K32&gt;X$149,0,IF('Indicator Data'!K32&lt;X$150,10,(X$149-'Indicator Data'!K32)/(X$149-X$150)*10)))</f>
        <v>x</v>
      </c>
      <c r="Y30" s="6">
        <f t="shared" si="10"/>
        <v>5</v>
      </c>
      <c r="Z30" s="7">
        <f t="shared" si="11"/>
        <v>4.95</v>
      </c>
      <c r="AA30" s="139">
        <f t="shared" si="12"/>
        <v>3.2921996765796813</v>
      </c>
    </row>
    <row r="31" spans="1:27" s="11" customFormat="1" x14ac:dyDescent="0.25">
      <c r="A31" s="16" t="s">
        <v>386</v>
      </c>
      <c r="B31" s="11" t="s">
        <v>575</v>
      </c>
      <c r="C31" s="16" t="s">
        <v>387</v>
      </c>
      <c r="D31" s="4">
        <f>IF('Indicator Data'!D33="No data","x",IF('Indicator Data'!D33=0,0,IF(LOG('Indicator Data'!D33)&gt;D$149,10,IF(LOG('Indicator Data'!D33)&lt;D$150,0,10-(D$149-LOG('Indicator Data'!D33))/(D$149-D$150)*10))))</f>
        <v>0</v>
      </c>
      <c r="E31" s="4">
        <f>IF('Indicator Data'!E33="No data","x",IF('Indicator Data'!E33=0,0,IF(LOG('Indicator Data'!E33)&gt;E$149,10,IF(LOG('Indicator Data'!E33)&lt;E$150,0,10-(E$149-LOG('Indicator Data'!E33))/(E$149-E$150)*10))))</f>
        <v>0</v>
      </c>
      <c r="F31" s="4">
        <f>IF('Indicator Data'!F33="No data","x",IF('Indicator Data'!F33=0,0,IF(LOG('Indicator Data'!F33)&gt;F$149,10,IF(LOG('Indicator Data'!F33)&lt;F$150,0,10-(F$149-LOG('Indicator Data'!F33))/(F$149-F$150)*10))))</f>
        <v>0</v>
      </c>
      <c r="G31" s="135">
        <f t="shared" si="16"/>
        <v>0</v>
      </c>
      <c r="H31" s="54">
        <f>IF('Indicator Data'!D33="No data","x",'Indicator Data'!D33/'Indicator Data'!AN33)</f>
        <v>0</v>
      </c>
      <c r="I31" s="54">
        <f>IF('Indicator Data'!E33="No data","x",'Indicator Data'!E33/'Indicator Data'!$AN33)</f>
        <v>0</v>
      </c>
      <c r="J31" s="54">
        <f>IF('Indicator Data'!F33="No data","x",'Indicator Data'!F33/'Indicator Data'!$AN33)</f>
        <v>0</v>
      </c>
      <c r="K31" s="4">
        <f t="shared" si="13"/>
        <v>0</v>
      </c>
      <c r="L31" s="4">
        <f t="shared" si="14"/>
        <v>0</v>
      </c>
      <c r="M31" s="4">
        <f t="shared" si="15"/>
        <v>0</v>
      </c>
      <c r="N31" s="135">
        <f t="shared" si="17"/>
        <v>0</v>
      </c>
      <c r="O31" s="6">
        <f t="shared" si="6"/>
        <v>0</v>
      </c>
      <c r="P31" s="6">
        <f t="shared" si="0"/>
        <v>0</v>
      </c>
      <c r="Q31" s="15">
        <f t="shared" si="7"/>
        <v>0</v>
      </c>
      <c r="R31" s="4">
        <f>IF(VLOOKUP($B31,'Indicator Data (national)'!$B$5:$H$14,6,FALSE)="No data","x",IF(VLOOKUP($B31,'Indicator Data (national)'!$B$5:$H$14,6,FALSE)&gt;R$149,10,IF(VLOOKUP($B31,'Indicator Data (national)'!$B$5:$H$14,6,FALSE)&lt;R$150,0,10-(R$149-VLOOKUP($B31,'Indicator Data (national)'!$B$5:$H$14,6,FALSE))/(R$149-R$150)*10)))</f>
        <v>8.4198248336278194</v>
      </c>
      <c r="S31" s="4">
        <f>IF(VLOOKUP($B31,'Indicator Data (national)'!$B$5:$H$14,7,FALSE)="No data","x",IF(VLOOKUP($B31,'Indicator Data (national)'!$B$5:$H$14,7,FALSE)&gt;S$149,10,IF(VLOOKUP($B31,'Indicator Data (national)'!$B$5:$H$14,7,FALSE)&lt;S$150,0,10-(S$149-VLOOKUP($B31,'Indicator Data (national)'!$B$5:$H$14,7,FALSE))/(S$149-S$150)*10)))</f>
        <v>7.6683965674749661</v>
      </c>
      <c r="T31" s="138">
        <f t="shared" si="8"/>
        <v>8.067210585702945</v>
      </c>
      <c r="U31" s="6">
        <f>IF('Indicator Data'!G33=5,10,IF('Indicator Data'!G33=4,8,IF('Indicator Data'!G33=3,5,IF('Indicator Data'!G33=2,2,IF('Indicator Data'!G33=1,1,0)))))</f>
        <v>5</v>
      </c>
      <c r="V31" s="4">
        <f>IF('Indicator Data'!H33="No data","x",IF('Indicator Data'!H33&gt;1000,10,IF('Indicator Data'!H33&gt;=500,9,IF('Indicator Data'!H33&gt;=240,8,IF('Indicator Data'!H33&gt;=120,7,IF('Indicator Data'!H33&gt;=60,6,IF('Indicator Data'!H33&gt;=20,5,IF('Indicator Data'!H33&gt;=10,4,IF('Indicator Data'!H33&gt;=5,3,0)))))))))</f>
        <v>5</v>
      </c>
      <c r="W31" s="6">
        <f t="shared" si="9"/>
        <v>5</v>
      </c>
      <c r="X31" s="4">
        <f>IF('Indicator Data'!K33="No data","x",IF('Indicator Data'!K33&gt;X$149,0,IF('Indicator Data'!K33&lt;X$150,10,(X$149-'Indicator Data'!K33)/(X$149-X$150)*10)))</f>
        <v>4.96</v>
      </c>
      <c r="Y31" s="6">
        <f t="shared" si="10"/>
        <v>4.9800000000000004</v>
      </c>
      <c r="Z31" s="7">
        <f t="shared" si="11"/>
        <v>4.9368000000000007</v>
      </c>
      <c r="AA31" s="139">
        <f t="shared" si="12"/>
        <v>6.5336052928514725</v>
      </c>
    </row>
    <row r="32" spans="1:27" s="11" customFormat="1" x14ac:dyDescent="0.25">
      <c r="A32" s="16" t="s">
        <v>388</v>
      </c>
      <c r="B32" s="11" t="s">
        <v>575</v>
      </c>
      <c r="C32" s="16" t="s">
        <v>389</v>
      </c>
      <c r="D32" s="4">
        <f>IF('Indicator Data'!D34="No data","x",IF('Indicator Data'!D34=0,0,IF(LOG('Indicator Data'!D34)&gt;D$149,10,IF(LOG('Indicator Data'!D34)&lt;D$150,0,10-(D$149-LOG('Indicator Data'!D34))/(D$149-D$150)*10))))</f>
        <v>6.5668420885206977</v>
      </c>
      <c r="E32" s="4">
        <f>IF('Indicator Data'!E34="No data","x",IF('Indicator Data'!E34=0,0,IF(LOG('Indicator Data'!E34)&gt;E$149,10,IF(LOG('Indicator Data'!E34)&lt;E$150,0,10-(E$149-LOG('Indicator Data'!E34))/(E$149-E$150)*10))))</f>
        <v>8.1738486407027278</v>
      </c>
      <c r="F32" s="4">
        <f>IF('Indicator Data'!F34="No data","x",IF('Indicator Data'!F34=0,0,IF(LOG('Indicator Data'!F34)&gt;F$149,10,IF(LOG('Indicator Data'!F34)&lt;F$150,0,10-(F$149-LOG('Indicator Data'!F34))/(F$149-F$150)*10))))</f>
        <v>5.8159881663698121</v>
      </c>
      <c r="G32" s="135">
        <f t="shared" si="16"/>
        <v>7.5843835221194986</v>
      </c>
      <c r="H32" s="54">
        <f>IF('Indicator Data'!D34="No data","x",'Indicator Data'!D34/'Indicator Data'!AN34)</f>
        <v>0.21556473678927868</v>
      </c>
      <c r="I32" s="54">
        <f>IF('Indicator Data'!E34="No data","x",'Indicator Data'!E34/'Indicator Data'!$AN34)</f>
        <v>0.43762028095011585</v>
      </c>
      <c r="J32" s="54">
        <f>IF('Indicator Data'!F34="No data","x",'Indicator Data'!F34/'Indicator Data'!$AN34)</f>
        <v>1.6841514983569787E-2</v>
      </c>
      <c r="K32" s="4">
        <f t="shared" si="13"/>
        <v>10</v>
      </c>
      <c r="L32" s="4">
        <f t="shared" si="14"/>
        <v>10</v>
      </c>
      <c r="M32" s="4">
        <f t="shared" si="15"/>
        <v>0.84207574917848937</v>
      </c>
      <c r="N32" s="135">
        <f t="shared" si="17"/>
        <v>7.7105189372946228</v>
      </c>
      <c r="O32" s="6">
        <f t="shared" si="6"/>
        <v>8.8640713244410492</v>
      </c>
      <c r="P32" s="6">
        <f t="shared" si="0"/>
        <v>7.648025458357548</v>
      </c>
      <c r="Q32" s="15">
        <f t="shared" si="7"/>
        <v>8.3215428207866893</v>
      </c>
      <c r="R32" s="4">
        <f>IF(VLOOKUP($B32,'Indicator Data (national)'!$B$5:$H$14,6,FALSE)="No data","x",IF(VLOOKUP($B32,'Indicator Data (national)'!$B$5:$H$14,6,FALSE)&gt;R$149,10,IF(VLOOKUP($B32,'Indicator Data (national)'!$B$5:$H$14,6,FALSE)&lt;R$150,0,10-(R$149-VLOOKUP($B32,'Indicator Data (national)'!$B$5:$H$14,6,FALSE))/(R$149-R$150)*10)))</f>
        <v>8.4198248336278194</v>
      </c>
      <c r="S32" s="4">
        <f>IF(VLOOKUP($B32,'Indicator Data (national)'!$B$5:$H$14,7,FALSE)="No data","x",IF(VLOOKUP($B32,'Indicator Data (national)'!$B$5:$H$14,7,FALSE)&gt;S$149,10,IF(VLOOKUP($B32,'Indicator Data (national)'!$B$5:$H$14,7,FALSE)&lt;S$150,0,10-(S$149-VLOOKUP($B32,'Indicator Data (national)'!$B$5:$H$14,7,FALSE))/(S$149-S$150)*10)))</f>
        <v>7.6683965674749661</v>
      </c>
      <c r="T32" s="138">
        <f t="shared" si="8"/>
        <v>8.067210585702945</v>
      </c>
      <c r="U32" s="6">
        <f>IF('Indicator Data'!G34=5,10,IF('Indicator Data'!G34=4,8,IF('Indicator Data'!G34=3,5,IF('Indicator Data'!G34=2,2,IF('Indicator Data'!G34=1,1,0)))))</f>
        <v>0</v>
      </c>
      <c r="V32" s="4">
        <f>IF('Indicator Data'!H34="No data","x",IF('Indicator Data'!H34&gt;1000,10,IF('Indicator Data'!H34&gt;=500,9,IF('Indicator Data'!H34&gt;=240,8,IF('Indicator Data'!H34&gt;=120,7,IF('Indicator Data'!H34&gt;=60,6,IF('Indicator Data'!H34&gt;=20,5,IF('Indicator Data'!H34&gt;=10,4,IF('Indicator Data'!H34&gt;=5,3,0)))))))))</f>
        <v>5</v>
      </c>
      <c r="W32" s="6">
        <f t="shared" si="9"/>
        <v>5</v>
      </c>
      <c r="X32" s="4">
        <f>IF('Indicator Data'!K34="No data","x",IF('Indicator Data'!K34&gt;X$149,0,IF('Indicator Data'!K34&lt;X$150,10,(X$149-'Indicator Data'!K34)/(X$149-X$150)*10)))</f>
        <v>4.42</v>
      </c>
      <c r="Y32" s="6">
        <f t="shared" si="10"/>
        <v>2.21</v>
      </c>
      <c r="Z32" s="7">
        <f t="shared" si="11"/>
        <v>3.1086</v>
      </c>
      <c r="AA32" s="139">
        <f t="shared" si="12"/>
        <v>6.5336052928514725</v>
      </c>
    </row>
    <row r="33" spans="1:27" s="11" customFormat="1" x14ac:dyDescent="0.25">
      <c r="A33" s="16" t="s">
        <v>390</v>
      </c>
      <c r="B33" s="11" t="s">
        <v>575</v>
      </c>
      <c r="C33" s="16" t="s">
        <v>391</v>
      </c>
      <c r="D33" s="4">
        <f>IF('Indicator Data'!D35="No data","x",IF('Indicator Data'!D35=0,0,IF(LOG('Indicator Data'!D35)&gt;D$149,10,IF(LOG('Indicator Data'!D35)&lt;D$150,0,10-(D$149-LOG('Indicator Data'!D35))/(D$149-D$150)*10))))</f>
        <v>7.4114883477770794</v>
      </c>
      <c r="E33" s="4">
        <f>IF('Indicator Data'!E35="No data","x",IF('Indicator Data'!E35=0,0,IF(LOG('Indicator Data'!E35)&gt;E$149,10,IF(LOG('Indicator Data'!E35)&lt;E$150,0,10-(E$149-LOG('Indicator Data'!E35))/(E$149-E$150)*10))))</f>
        <v>8.4016595275948838</v>
      </c>
      <c r="F33" s="4">
        <f>IF('Indicator Data'!F35="No data","x",IF('Indicator Data'!F35=0,0,IF(LOG('Indicator Data'!F35)&gt;F$149,10,IF(LOG('Indicator Data'!F35)&lt;F$150,0,10-(F$149-LOG('Indicator Data'!F35))/(F$149-F$150)*10))))</f>
        <v>7.3627101974450531</v>
      </c>
      <c r="G33" s="135">
        <f t="shared" si="16"/>
        <v>8.1419221950574254</v>
      </c>
      <c r="H33" s="54">
        <f>IF('Indicator Data'!D35="No data","x",'Indicator Data'!D35/'Indicator Data'!AN35)</f>
        <v>6.3666623447303075E-2</v>
      </c>
      <c r="I33" s="54">
        <f>IF('Indicator Data'!E35="No data","x",'Indicator Data'!E35/'Indicator Data'!$AN35)</f>
        <v>4.5380125314131825E-2</v>
      </c>
      <c r="J33" s="54">
        <f>IF('Indicator Data'!F35="No data","x",'Indicator Data'!F35/'Indicator Data'!$AN35)</f>
        <v>1.0801799026655887E-2</v>
      </c>
      <c r="K33" s="4">
        <f t="shared" si="13"/>
        <v>3.1833311723651523</v>
      </c>
      <c r="L33" s="4">
        <f t="shared" si="14"/>
        <v>2.269006265706591</v>
      </c>
      <c r="M33" s="4">
        <f t="shared" si="15"/>
        <v>0.54008995133279569</v>
      </c>
      <c r="N33" s="135">
        <f t="shared" si="17"/>
        <v>1.8367771871131422</v>
      </c>
      <c r="O33" s="6">
        <f t="shared" si="6"/>
        <v>5.6954121604596422</v>
      </c>
      <c r="P33" s="6">
        <f t="shared" si="0"/>
        <v>5.8635164725252134</v>
      </c>
      <c r="Q33" s="15">
        <f t="shared" si="7"/>
        <v>5.7801268888840447</v>
      </c>
      <c r="R33" s="4">
        <f>IF(VLOOKUP($B33,'Indicator Data (national)'!$B$5:$H$14,6,FALSE)="No data","x",IF(VLOOKUP($B33,'Indicator Data (national)'!$B$5:$H$14,6,FALSE)&gt;R$149,10,IF(VLOOKUP($B33,'Indicator Data (national)'!$B$5:$H$14,6,FALSE)&lt;R$150,0,10-(R$149-VLOOKUP($B33,'Indicator Data (national)'!$B$5:$H$14,6,FALSE))/(R$149-R$150)*10)))</f>
        <v>8.4198248336278194</v>
      </c>
      <c r="S33" s="4">
        <f>IF(VLOOKUP($B33,'Indicator Data (national)'!$B$5:$H$14,7,FALSE)="No data","x",IF(VLOOKUP($B33,'Indicator Data (national)'!$B$5:$H$14,7,FALSE)&gt;S$149,10,IF(VLOOKUP($B33,'Indicator Data (national)'!$B$5:$H$14,7,FALSE)&lt;S$150,0,10-(S$149-VLOOKUP($B33,'Indicator Data (national)'!$B$5:$H$14,7,FALSE))/(S$149-S$150)*10)))</f>
        <v>7.6683965674749661</v>
      </c>
      <c r="T33" s="138">
        <f t="shared" si="8"/>
        <v>8.067210585702945</v>
      </c>
      <c r="U33" s="6">
        <f>IF('Indicator Data'!G35=5,10,IF('Indicator Data'!G35=4,8,IF('Indicator Data'!G35=3,5,IF('Indicator Data'!G35=2,2,IF('Indicator Data'!G35=1,1,0)))))</f>
        <v>0</v>
      </c>
      <c r="V33" s="4">
        <f>IF('Indicator Data'!H35="No data","x",IF('Indicator Data'!H35&gt;1000,10,IF('Indicator Data'!H35&gt;=500,9,IF('Indicator Data'!H35&gt;=240,8,IF('Indicator Data'!H35&gt;=120,7,IF('Indicator Data'!H35&gt;=60,6,IF('Indicator Data'!H35&gt;=20,5,IF('Indicator Data'!H35&gt;=10,4,IF('Indicator Data'!H35&gt;=5,3,0)))))))))</f>
        <v>7</v>
      </c>
      <c r="W33" s="6">
        <f t="shared" si="9"/>
        <v>7</v>
      </c>
      <c r="X33" s="4">
        <f>IF('Indicator Data'!K35="No data","x",IF('Indicator Data'!K35&gt;X$149,0,IF('Indicator Data'!K35&lt;X$150,10,(X$149-'Indicator Data'!K35)/(X$149-X$150)*10)))</f>
        <v>4.5999999999999996</v>
      </c>
      <c r="Y33" s="6">
        <f t="shared" si="10"/>
        <v>2.2999999999999998</v>
      </c>
      <c r="Z33" s="7">
        <f t="shared" si="11"/>
        <v>3.8280000000000003</v>
      </c>
      <c r="AA33" s="139">
        <f t="shared" si="12"/>
        <v>7.5336052928514725</v>
      </c>
    </row>
    <row r="34" spans="1:27" s="11" customFormat="1" x14ac:dyDescent="0.25">
      <c r="A34" s="16" t="s">
        <v>392</v>
      </c>
      <c r="B34" s="11" t="s">
        <v>575</v>
      </c>
      <c r="C34" s="16" t="s">
        <v>393</v>
      </c>
      <c r="D34" s="4">
        <f>IF('Indicator Data'!D36="No data","x",IF('Indicator Data'!D36=0,0,IF(LOG('Indicator Data'!D36)&gt;D$149,10,IF(LOG('Indicator Data'!D36)&lt;D$150,0,10-(D$149-LOG('Indicator Data'!D36))/(D$149-D$150)*10))))</f>
        <v>3.0725091998004412</v>
      </c>
      <c r="E34" s="4">
        <f>IF('Indicator Data'!E36="No data","x",IF('Indicator Data'!E36=0,0,IF(LOG('Indicator Data'!E36)&gt;E$149,10,IF(LOG('Indicator Data'!E36)&lt;E$150,0,10-(E$149-LOG('Indicator Data'!E36))/(E$149-E$150)*10))))</f>
        <v>0</v>
      </c>
      <c r="F34" s="4">
        <f>IF('Indicator Data'!F36="No data","x",IF('Indicator Data'!F36=0,0,IF(LOG('Indicator Data'!F36)&gt;F$149,10,IF(LOG('Indicator Data'!F36)&lt;F$150,0,10-(F$149-LOG('Indicator Data'!F36))/(F$149-F$150)*10))))</f>
        <v>1.1503268000475231</v>
      </c>
      <c r="G34" s="135">
        <f t="shared" si="16"/>
        <v>0.28758170001188077</v>
      </c>
      <c r="H34" s="54">
        <f>IF('Indicator Data'!D36="No data","x",'Indicator Data'!D36/'Indicator Data'!AN36)</f>
        <v>1.5033535940775305E-3</v>
      </c>
      <c r="I34" s="54">
        <f>IF('Indicator Data'!E36="No data","x",'Indicator Data'!E36/'Indicator Data'!$AN36)</f>
        <v>0</v>
      </c>
      <c r="J34" s="54">
        <f>IF('Indicator Data'!F36="No data","x",'Indicator Data'!F36/'Indicator Data'!$AN36)</f>
        <v>5.2059594423886216E-5</v>
      </c>
      <c r="K34" s="4">
        <f t="shared" si="13"/>
        <v>7.5167679703875834E-2</v>
      </c>
      <c r="L34" s="4">
        <f t="shared" si="14"/>
        <v>0</v>
      </c>
      <c r="M34" s="4">
        <f t="shared" si="15"/>
        <v>2.6029797211943873E-3</v>
      </c>
      <c r="N34" s="135">
        <f t="shared" si="17"/>
        <v>6.5074493029859681E-4</v>
      </c>
      <c r="O34" s="6">
        <f t="shared" si="6"/>
        <v>1.6923237177771553</v>
      </c>
      <c r="P34" s="6">
        <f t="shared" si="0"/>
        <v>0.14505463924255027</v>
      </c>
      <c r="Q34" s="15">
        <f t="shared" si="7"/>
        <v>0.9480921476424381</v>
      </c>
      <c r="R34" s="4">
        <f>IF(VLOOKUP($B34,'Indicator Data (national)'!$B$5:$H$14,6,FALSE)="No data","x",IF(VLOOKUP($B34,'Indicator Data (national)'!$B$5:$H$14,6,FALSE)&gt;R$149,10,IF(VLOOKUP($B34,'Indicator Data (national)'!$B$5:$H$14,6,FALSE)&lt;R$150,0,10-(R$149-VLOOKUP($B34,'Indicator Data (national)'!$B$5:$H$14,6,FALSE))/(R$149-R$150)*10)))</f>
        <v>8.4198248336278194</v>
      </c>
      <c r="S34" s="4">
        <f>IF(VLOOKUP($B34,'Indicator Data (national)'!$B$5:$H$14,7,FALSE)="No data","x",IF(VLOOKUP($B34,'Indicator Data (national)'!$B$5:$H$14,7,FALSE)&gt;S$149,10,IF(VLOOKUP($B34,'Indicator Data (national)'!$B$5:$H$14,7,FALSE)&lt;S$150,0,10-(S$149-VLOOKUP($B34,'Indicator Data (national)'!$B$5:$H$14,7,FALSE))/(S$149-S$150)*10)))</f>
        <v>7.6683965674749661</v>
      </c>
      <c r="T34" s="138">
        <f t="shared" si="8"/>
        <v>8.067210585702945</v>
      </c>
      <c r="U34" s="6">
        <f>IF('Indicator Data'!G36=5,10,IF('Indicator Data'!G36=4,8,IF('Indicator Data'!G36=3,5,IF('Indicator Data'!G36=2,2,IF('Indicator Data'!G36=1,1,0)))))</f>
        <v>0</v>
      </c>
      <c r="V34" s="4">
        <f>IF('Indicator Data'!H36="No data","x",IF('Indicator Data'!H36&gt;1000,10,IF('Indicator Data'!H36&gt;=500,9,IF('Indicator Data'!H36&gt;=240,8,IF('Indicator Data'!H36&gt;=120,7,IF('Indicator Data'!H36&gt;=60,6,IF('Indicator Data'!H36&gt;=20,5,IF('Indicator Data'!H36&gt;=10,4,IF('Indicator Data'!H36&gt;=5,3,0)))))))))</f>
        <v>5</v>
      </c>
      <c r="W34" s="6">
        <f t="shared" si="9"/>
        <v>5</v>
      </c>
      <c r="X34" s="4">
        <f>IF('Indicator Data'!K36="No data","x",IF('Indicator Data'!K36&gt;X$149,0,IF('Indicator Data'!K36&lt;X$150,10,(X$149-'Indicator Data'!K36)/(X$149-X$150)*10)))</f>
        <v>4.6399999999999997</v>
      </c>
      <c r="Y34" s="6">
        <f t="shared" si="10"/>
        <v>2.3199999999999998</v>
      </c>
      <c r="Z34" s="7">
        <f t="shared" si="11"/>
        <v>3.1812</v>
      </c>
      <c r="AA34" s="139">
        <f t="shared" si="12"/>
        <v>6.5336052928514725</v>
      </c>
    </row>
    <row r="35" spans="1:27" s="11" customFormat="1" x14ac:dyDescent="0.25">
      <c r="A35" s="16" t="s">
        <v>394</v>
      </c>
      <c r="B35" s="11" t="s">
        <v>575</v>
      </c>
      <c r="C35" s="16" t="s">
        <v>395</v>
      </c>
      <c r="D35" s="4">
        <f>IF('Indicator Data'!D37="No data","x",IF('Indicator Data'!D37=0,0,IF(LOG('Indicator Data'!D37)&gt;D$149,10,IF(LOG('Indicator Data'!D37)&lt;D$150,0,10-(D$149-LOG('Indicator Data'!D37))/(D$149-D$150)*10))))</f>
        <v>4.6931065732171717</v>
      </c>
      <c r="E35" s="4">
        <f>IF('Indicator Data'!E37="No data","x",IF('Indicator Data'!E37=0,0,IF(LOG('Indicator Data'!E37)&gt;E$149,10,IF(LOG('Indicator Data'!E37)&lt;E$150,0,10-(E$149-LOG('Indicator Data'!E37))/(E$149-E$150)*10))))</f>
        <v>7.1198985627672755</v>
      </c>
      <c r="F35" s="4">
        <f>IF('Indicator Data'!F37="No data","x",IF('Indicator Data'!F37=0,0,IF(LOG('Indicator Data'!F37)&gt;F$149,10,IF(LOG('Indicator Data'!F37)&lt;F$150,0,10-(F$149-LOG('Indicator Data'!F37))/(F$149-F$150)*10))))</f>
        <v>0</v>
      </c>
      <c r="G35" s="135">
        <f t="shared" si="16"/>
        <v>5.3399239220754566</v>
      </c>
      <c r="H35" s="54">
        <f>IF('Indicator Data'!D37="No data","x",'Indicator Data'!D37/'Indicator Data'!AN37)</f>
        <v>4.3633607132351281E-2</v>
      </c>
      <c r="I35" s="54">
        <f>IF('Indicator Data'!E37="No data","x",'Indicator Data'!E37/'Indicator Data'!$AN37)</f>
        <v>0.42323897449822367</v>
      </c>
      <c r="J35" s="54">
        <f>IF('Indicator Data'!F37="No data","x",'Indicator Data'!F37/'Indicator Data'!$AN37)</f>
        <v>0</v>
      </c>
      <c r="K35" s="4">
        <f t="shared" si="13"/>
        <v>2.1816803566175649</v>
      </c>
      <c r="L35" s="4">
        <f t="shared" si="14"/>
        <v>10</v>
      </c>
      <c r="M35" s="4">
        <f t="shared" si="15"/>
        <v>0</v>
      </c>
      <c r="N35" s="135">
        <f t="shared" si="17"/>
        <v>7.5</v>
      </c>
      <c r="O35" s="6">
        <f t="shared" ref="O35:O65" si="18">IF(AND(D35="x",K35="x"),"x",(10-GEOMEAN(((10-D35)/10*9+1),((10-K35)/10*9+1)))/9*10)</f>
        <v>3.5408319152591323</v>
      </c>
      <c r="P35" s="6">
        <f t="shared" ref="P35:P65" si="19">IF(AND(G35="x",N35="x"),"x",(10-GEOMEAN(((10-G35)/10*9+1),((10-N35)/10*9+1)))/9*10)</f>
        <v>6.545982615369863</v>
      </c>
      <c r="Q35" s="15">
        <f t="shared" si="7"/>
        <v>5.2323954964805637</v>
      </c>
      <c r="R35" s="4">
        <f>IF(VLOOKUP($B35,'Indicator Data (national)'!$B$5:$H$14,6,FALSE)="No data","x",IF(VLOOKUP($B35,'Indicator Data (national)'!$B$5:$H$14,6,FALSE)&gt;R$149,10,IF(VLOOKUP($B35,'Indicator Data (national)'!$B$5:$H$14,6,FALSE)&lt;R$150,0,10-(R$149-VLOOKUP($B35,'Indicator Data (national)'!$B$5:$H$14,6,FALSE))/(R$149-R$150)*10)))</f>
        <v>8.4198248336278194</v>
      </c>
      <c r="S35" s="4">
        <f>IF(VLOOKUP($B35,'Indicator Data (national)'!$B$5:$H$14,7,FALSE)="No data","x",IF(VLOOKUP($B35,'Indicator Data (national)'!$B$5:$H$14,7,FALSE)&gt;S$149,10,IF(VLOOKUP($B35,'Indicator Data (national)'!$B$5:$H$14,7,FALSE)&lt;S$150,0,10-(S$149-VLOOKUP($B35,'Indicator Data (national)'!$B$5:$H$14,7,FALSE))/(S$149-S$150)*10)))</f>
        <v>7.6683965674749661</v>
      </c>
      <c r="T35" s="138">
        <f t="shared" si="8"/>
        <v>8.067210585702945</v>
      </c>
      <c r="U35" s="6">
        <f>IF('Indicator Data'!G37=5,10,IF('Indicator Data'!G37=4,8,IF('Indicator Data'!G37=3,5,IF('Indicator Data'!G37=2,2,IF('Indicator Data'!G37=1,1,0)))))</f>
        <v>0</v>
      </c>
      <c r="V35" s="4">
        <f>IF('Indicator Data'!H37="No data","x",IF('Indicator Data'!H37&gt;1000,10,IF('Indicator Data'!H37&gt;=500,9,IF('Indicator Data'!H37&gt;=240,8,IF('Indicator Data'!H37&gt;=120,7,IF('Indicator Data'!H37&gt;=60,6,IF('Indicator Data'!H37&gt;=20,5,IF('Indicator Data'!H37&gt;=10,4,IF('Indicator Data'!H37&gt;=5,3,0)))))))))</f>
        <v>0</v>
      </c>
      <c r="W35" s="6">
        <f t="shared" si="9"/>
        <v>0</v>
      </c>
      <c r="X35" s="4">
        <f>IF('Indicator Data'!K37="No data","x",IF('Indicator Data'!K37&gt;X$149,0,IF('Indicator Data'!K37&lt;X$150,10,(X$149-'Indicator Data'!K37)/(X$149-X$150)*10)))</f>
        <v>4.54</v>
      </c>
      <c r="Y35" s="6">
        <f t="shared" si="10"/>
        <v>2.27</v>
      </c>
      <c r="Z35" s="7">
        <f t="shared" si="11"/>
        <v>1.4982</v>
      </c>
      <c r="AA35" s="139">
        <f t="shared" si="12"/>
        <v>4.0336052928514725</v>
      </c>
    </row>
    <row r="36" spans="1:27" s="11" customFormat="1" x14ac:dyDescent="0.25">
      <c r="A36" s="16" t="s">
        <v>396</v>
      </c>
      <c r="B36" s="11" t="s">
        <v>575</v>
      </c>
      <c r="C36" s="16" t="s">
        <v>397</v>
      </c>
      <c r="D36" s="4">
        <f>IF('Indicator Data'!D38="No data","x",IF('Indicator Data'!D38=0,0,IF(LOG('Indicator Data'!D38)&gt;D$149,10,IF(LOG('Indicator Data'!D38)&lt;D$150,0,10-(D$149-LOG('Indicator Data'!D38))/(D$149-D$150)*10))))</f>
        <v>5.9931576001608864</v>
      </c>
      <c r="E36" s="4">
        <f>IF('Indicator Data'!E38="No data","x",IF('Indicator Data'!E38=0,0,IF(LOG('Indicator Data'!E38)&gt;E$149,10,IF(LOG('Indicator Data'!E38)&lt;E$150,0,10-(E$149-LOG('Indicator Data'!E38))/(E$149-E$150)*10))))</f>
        <v>0</v>
      </c>
      <c r="F36" s="4">
        <f>IF('Indicator Data'!F38="No data","x",IF('Indicator Data'!F38=0,0,IF(LOG('Indicator Data'!F38)&gt;F$149,10,IF(LOG('Indicator Data'!F38)&lt;F$150,0,10-(F$149-LOG('Indicator Data'!F38))/(F$149-F$150)*10))))</f>
        <v>0.74526338557036631</v>
      </c>
      <c r="G36" s="135">
        <f t="shared" si="16"/>
        <v>0.18631584639259158</v>
      </c>
      <c r="H36" s="54">
        <f>IF('Indicator Data'!D38="No data","x",'Indicator Data'!D38/'Indicator Data'!AN38)</f>
        <v>0.50038146860625099</v>
      </c>
      <c r="I36" s="54">
        <f>IF('Indicator Data'!E38="No data","x",'Indicator Data'!E38/'Indicator Data'!$AN38)</f>
        <v>0</v>
      </c>
      <c r="J36" s="54">
        <f>IF('Indicator Data'!F38="No data","x",'Indicator Data'!F38/'Indicator Data'!$AN38)</f>
        <v>8.9381765481400614E-5</v>
      </c>
      <c r="K36" s="4">
        <f t="shared" si="13"/>
        <v>10</v>
      </c>
      <c r="L36" s="4">
        <f t="shared" si="14"/>
        <v>0</v>
      </c>
      <c r="M36" s="4">
        <f t="shared" si="15"/>
        <v>4.4690882740709981E-3</v>
      </c>
      <c r="N36" s="135">
        <f t="shared" si="17"/>
        <v>1.1172720685177495E-3</v>
      </c>
      <c r="O36" s="6">
        <f t="shared" si="18"/>
        <v>8.7264486586522914</v>
      </c>
      <c r="P36" s="6">
        <f t="shared" si="19"/>
        <v>9.4105706563810315E-2</v>
      </c>
      <c r="Q36" s="15">
        <f t="shared" si="7"/>
        <v>5.9855048906958288</v>
      </c>
      <c r="R36" s="4">
        <f>IF(VLOOKUP($B36,'Indicator Data (national)'!$B$5:$H$14,6,FALSE)="No data","x",IF(VLOOKUP($B36,'Indicator Data (national)'!$B$5:$H$14,6,FALSE)&gt;R$149,10,IF(VLOOKUP($B36,'Indicator Data (national)'!$B$5:$H$14,6,FALSE)&lt;R$150,0,10-(R$149-VLOOKUP($B36,'Indicator Data (national)'!$B$5:$H$14,6,FALSE))/(R$149-R$150)*10)))</f>
        <v>8.4198248336278194</v>
      </c>
      <c r="S36" s="4">
        <f>IF(VLOOKUP($B36,'Indicator Data (national)'!$B$5:$H$14,7,FALSE)="No data","x",IF(VLOOKUP($B36,'Indicator Data (national)'!$B$5:$H$14,7,FALSE)&gt;S$149,10,IF(VLOOKUP($B36,'Indicator Data (national)'!$B$5:$H$14,7,FALSE)&lt;S$150,0,10-(S$149-VLOOKUP($B36,'Indicator Data (national)'!$B$5:$H$14,7,FALSE))/(S$149-S$150)*10)))</f>
        <v>7.6683965674749661</v>
      </c>
      <c r="T36" s="138">
        <f t="shared" si="8"/>
        <v>8.067210585702945</v>
      </c>
      <c r="U36" s="6">
        <f>IF('Indicator Data'!G38=5,10,IF('Indicator Data'!G38=4,8,IF('Indicator Data'!G38=3,5,IF('Indicator Data'!G38=2,2,IF('Indicator Data'!G38=1,1,0)))))</f>
        <v>0</v>
      </c>
      <c r="V36" s="4">
        <f>IF('Indicator Data'!H38="No data","x",IF('Indicator Data'!H38&gt;1000,10,IF('Indicator Data'!H38&gt;=500,9,IF('Indicator Data'!H38&gt;=240,8,IF('Indicator Data'!H38&gt;=120,7,IF('Indicator Data'!H38&gt;=60,6,IF('Indicator Data'!H38&gt;=20,5,IF('Indicator Data'!H38&gt;=10,4,IF('Indicator Data'!H38&gt;=5,3,0)))))))))</f>
        <v>6</v>
      </c>
      <c r="W36" s="6">
        <f t="shared" si="9"/>
        <v>6</v>
      </c>
      <c r="X36" s="4">
        <f>IF('Indicator Data'!K38="No data","x",IF('Indicator Data'!K38&gt;X$149,0,IF('Indicator Data'!K38&lt;X$150,10,(X$149-'Indicator Data'!K38)/(X$149-X$150)*10)))</f>
        <v>4.42</v>
      </c>
      <c r="Y36" s="6">
        <f t="shared" si="10"/>
        <v>2.21</v>
      </c>
      <c r="Z36" s="7">
        <f t="shared" si="11"/>
        <v>3.4386000000000001</v>
      </c>
      <c r="AA36" s="139">
        <f t="shared" si="12"/>
        <v>7.0336052928514725</v>
      </c>
    </row>
    <row r="37" spans="1:27" s="11" customFormat="1" x14ac:dyDescent="0.25">
      <c r="A37" s="16" t="s">
        <v>398</v>
      </c>
      <c r="B37" s="11" t="s">
        <v>575</v>
      </c>
      <c r="C37" s="16" t="s">
        <v>399</v>
      </c>
      <c r="D37" s="4">
        <f>IF('Indicator Data'!D39="No data","x",IF('Indicator Data'!D39=0,0,IF(LOG('Indicator Data'!D39)&gt;D$149,10,IF(LOG('Indicator Data'!D39)&lt;D$150,0,10-(D$149-LOG('Indicator Data'!D39))/(D$149-D$150)*10))))</f>
        <v>0</v>
      </c>
      <c r="E37" s="4">
        <f>IF('Indicator Data'!E39="No data","x",IF('Indicator Data'!E39=0,0,IF(LOG('Indicator Data'!E39)&gt;E$149,10,IF(LOG('Indicator Data'!E39)&lt;E$150,0,10-(E$149-LOG('Indicator Data'!E39))/(E$149-E$150)*10))))</f>
        <v>6.7215078413423974</v>
      </c>
      <c r="F37" s="4">
        <f>IF('Indicator Data'!F39="No data","x",IF('Indicator Data'!F39=0,0,IF(LOG('Indicator Data'!F39)&gt;F$149,10,IF(LOG('Indicator Data'!F39)&lt;F$150,0,10-(F$149-LOG('Indicator Data'!F39))/(F$149-F$150)*10))))</f>
        <v>0</v>
      </c>
      <c r="G37" s="135">
        <f t="shared" si="16"/>
        <v>5.0411308810067981</v>
      </c>
      <c r="H37" s="54">
        <f>IF('Indicator Data'!D39="No data","x",'Indicator Data'!D39/'Indicator Data'!AN39)</f>
        <v>0</v>
      </c>
      <c r="I37" s="54">
        <f>IF('Indicator Data'!E39="No data","x",'Indicator Data'!E39/'Indicator Data'!$AN39)</f>
        <v>0.46297162624411475</v>
      </c>
      <c r="J37" s="54">
        <f>IF('Indicator Data'!F39="No data","x",'Indicator Data'!F39/'Indicator Data'!$AN39)</f>
        <v>0</v>
      </c>
      <c r="K37" s="4">
        <f t="shared" si="13"/>
        <v>0</v>
      </c>
      <c r="L37" s="4">
        <f t="shared" si="14"/>
        <v>10</v>
      </c>
      <c r="M37" s="4">
        <f t="shared" si="15"/>
        <v>0</v>
      </c>
      <c r="N37" s="135">
        <f t="shared" si="17"/>
        <v>7.5</v>
      </c>
      <c r="O37" s="6">
        <f t="shared" si="18"/>
        <v>0</v>
      </c>
      <c r="P37" s="6">
        <f t="shared" si="19"/>
        <v>6.4292981019068272</v>
      </c>
      <c r="Q37" s="15">
        <f t="shared" si="7"/>
        <v>3.8986119224307911</v>
      </c>
      <c r="R37" s="4">
        <f>IF(VLOOKUP($B37,'Indicator Data (national)'!$B$5:$H$14,6,FALSE)="No data","x",IF(VLOOKUP($B37,'Indicator Data (national)'!$B$5:$H$14,6,FALSE)&gt;R$149,10,IF(VLOOKUP($B37,'Indicator Data (national)'!$B$5:$H$14,6,FALSE)&lt;R$150,0,10-(R$149-VLOOKUP($B37,'Indicator Data (national)'!$B$5:$H$14,6,FALSE))/(R$149-R$150)*10)))</f>
        <v>8.4198248336278194</v>
      </c>
      <c r="S37" s="4">
        <f>IF(VLOOKUP($B37,'Indicator Data (national)'!$B$5:$H$14,7,FALSE)="No data","x",IF(VLOOKUP($B37,'Indicator Data (national)'!$B$5:$H$14,7,FALSE)&gt;S$149,10,IF(VLOOKUP($B37,'Indicator Data (national)'!$B$5:$H$14,7,FALSE)&lt;S$150,0,10-(S$149-VLOOKUP($B37,'Indicator Data (national)'!$B$5:$H$14,7,FALSE))/(S$149-S$150)*10)))</f>
        <v>7.6683965674749661</v>
      </c>
      <c r="T37" s="138">
        <f t="shared" si="8"/>
        <v>8.067210585702945</v>
      </c>
      <c r="U37" s="6">
        <f>IF('Indicator Data'!G39=5,10,IF('Indicator Data'!G39=4,8,IF('Indicator Data'!G39=3,5,IF('Indicator Data'!G39=2,2,IF('Indicator Data'!G39=1,1,0)))))</f>
        <v>0</v>
      </c>
      <c r="V37" s="4">
        <f>IF('Indicator Data'!H39="No data","x",IF('Indicator Data'!H39&gt;1000,10,IF('Indicator Data'!H39&gt;=500,9,IF('Indicator Data'!H39&gt;=240,8,IF('Indicator Data'!H39&gt;=120,7,IF('Indicator Data'!H39&gt;=60,6,IF('Indicator Data'!H39&gt;=20,5,IF('Indicator Data'!H39&gt;=10,4,IF('Indicator Data'!H39&gt;=5,3,0)))))))))</f>
        <v>3</v>
      </c>
      <c r="W37" s="6">
        <f t="shared" si="9"/>
        <v>3</v>
      </c>
      <c r="X37" s="4">
        <f>IF('Indicator Data'!K39="No data","x",IF('Indicator Data'!K39&gt;X$149,0,IF('Indicator Data'!K39&lt;X$150,10,(X$149-'Indicator Data'!K39)/(X$149-X$150)*10)))</f>
        <v>4.4800000000000004</v>
      </c>
      <c r="Y37" s="6">
        <f t="shared" si="10"/>
        <v>2.2400000000000002</v>
      </c>
      <c r="Z37" s="7">
        <f t="shared" si="11"/>
        <v>2.4683999999999999</v>
      </c>
      <c r="AA37" s="139">
        <f t="shared" si="12"/>
        <v>5.5336052928514725</v>
      </c>
    </row>
    <row r="38" spans="1:27" s="11" customFormat="1" x14ac:dyDescent="0.25">
      <c r="A38" s="16" t="s">
        <v>400</v>
      </c>
      <c r="B38" s="11" t="s">
        <v>575</v>
      </c>
      <c r="C38" s="16" t="s">
        <v>401</v>
      </c>
      <c r="D38" s="4">
        <f>IF('Indicator Data'!D40="No data","x",IF('Indicator Data'!D40=0,0,IF(LOG('Indicator Data'!D40)&gt;D$149,10,IF(LOG('Indicator Data'!D40)&lt;D$150,0,10-(D$149-LOG('Indicator Data'!D40))/(D$149-D$150)*10))))</f>
        <v>7.2625401246874475</v>
      </c>
      <c r="E38" s="4">
        <f>IF('Indicator Data'!E40="No data","x",IF('Indicator Data'!E40=0,0,IF(LOG('Indicator Data'!E40)&gt;E$149,10,IF(LOG('Indicator Data'!E40)&lt;E$150,0,10-(E$149-LOG('Indicator Data'!E40))/(E$149-E$150)*10))))</f>
        <v>9.4132685921794614</v>
      </c>
      <c r="F38" s="4">
        <f>IF('Indicator Data'!F40="No data","x",IF('Indicator Data'!F40=0,0,IF(LOG('Indicator Data'!F40)&gt;F$149,10,IF(LOG('Indicator Data'!F40)&lt;F$150,0,10-(F$149-LOG('Indicator Data'!F40))/(F$149-F$150)*10))))</f>
        <v>9.0837100115577378</v>
      </c>
      <c r="G38" s="135">
        <f t="shared" si="16"/>
        <v>9.3308789470240292</v>
      </c>
      <c r="H38" s="54">
        <f>IF('Indicator Data'!D40="No data","x",'Indicator Data'!D40/'Indicator Data'!AN40)</f>
        <v>3.6735863600807626E-2</v>
      </c>
      <c r="I38" s="54">
        <f>IF('Indicator Data'!E40="No data","x",'Indicator Data'!E40/'Indicator Data'!$AN40)</f>
        <v>0.13467076336943362</v>
      </c>
      <c r="J38" s="54">
        <f>IF('Indicator Data'!F40="No data","x",'Indicator Data'!F40/'Indicator Data'!$AN40)</f>
        <v>8.5415792269374791E-2</v>
      </c>
      <c r="K38" s="4">
        <f t="shared" si="13"/>
        <v>1.8367931800403809</v>
      </c>
      <c r="L38" s="4">
        <f t="shared" si="14"/>
        <v>6.7335381684716804</v>
      </c>
      <c r="M38" s="4">
        <f t="shared" si="15"/>
        <v>4.2707896134687395</v>
      </c>
      <c r="N38" s="135">
        <f t="shared" si="17"/>
        <v>6.1178510297209447</v>
      </c>
      <c r="O38" s="6">
        <f t="shared" si="18"/>
        <v>5.1367600243078293</v>
      </c>
      <c r="P38" s="6">
        <f t="shared" si="19"/>
        <v>8.1296413057059222</v>
      </c>
      <c r="Q38" s="15">
        <f t="shared" si="7"/>
        <v>6.8906434388982714</v>
      </c>
      <c r="R38" s="4">
        <f>IF(VLOOKUP($B38,'Indicator Data (national)'!$B$5:$H$14,6,FALSE)="No data","x",IF(VLOOKUP($B38,'Indicator Data (national)'!$B$5:$H$14,6,FALSE)&gt;R$149,10,IF(VLOOKUP($B38,'Indicator Data (national)'!$B$5:$H$14,6,FALSE)&lt;R$150,0,10-(R$149-VLOOKUP($B38,'Indicator Data (national)'!$B$5:$H$14,6,FALSE))/(R$149-R$150)*10)))</f>
        <v>8.4198248336278194</v>
      </c>
      <c r="S38" s="4">
        <f>IF(VLOOKUP($B38,'Indicator Data (national)'!$B$5:$H$14,7,FALSE)="No data","x",IF(VLOOKUP($B38,'Indicator Data (national)'!$B$5:$H$14,7,FALSE)&gt;S$149,10,IF(VLOOKUP($B38,'Indicator Data (national)'!$B$5:$H$14,7,FALSE)&lt;S$150,0,10-(S$149-VLOOKUP($B38,'Indicator Data (national)'!$B$5:$H$14,7,FALSE))/(S$149-S$150)*10)))</f>
        <v>7.6683965674749661</v>
      </c>
      <c r="T38" s="138">
        <f t="shared" si="8"/>
        <v>8.067210585702945</v>
      </c>
      <c r="U38" s="6">
        <f>IF('Indicator Data'!G40=5,10,IF('Indicator Data'!G40=4,8,IF('Indicator Data'!G40=3,5,IF('Indicator Data'!G40=2,2,IF('Indicator Data'!G40=1,1,0)))))</f>
        <v>5</v>
      </c>
      <c r="V38" s="4">
        <f>IF('Indicator Data'!H40="No data","x",IF('Indicator Data'!H40&gt;1000,10,IF('Indicator Data'!H40&gt;=500,9,IF('Indicator Data'!H40&gt;=240,8,IF('Indicator Data'!H40&gt;=120,7,IF('Indicator Data'!H40&gt;=60,6,IF('Indicator Data'!H40&gt;=20,5,IF('Indicator Data'!H40&gt;=10,4,IF('Indicator Data'!H40&gt;=5,3,0)))))))))</f>
        <v>8</v>
      </c>
      <c r="W38" s="6">
        <f t="shared" si="9"/>
        <v>8</v>
      </c>
      <c r="X38" s="4">
        <f>IF('Indicator Data'!K40="No data","x",IF('Indicator Data'!K40&gt;X$149,0,IF('Indicator Data'!K40&lt;X$150,10,(X$149-'Indicator Data'!K40)/(X$149-X$150)*10)))</f>
        <v>4.62</v>
      </c>
      <c r="Y38" s="6">
        <f t="shared" si="10"/>
        <v>4.8100000000000005</v>
      </c>
      <c r="Z38" s="7">
        <f t="shared" si="11"/>
        <v>5.8146000000000004</v>
      </c>
      <c r="AA38" s="139">
        <f t="shared" si="12"/>
        <v>8</v>
      </c>
    </row>
    <row r="39" spans="1:27" s="11" customFormat="1" x14ac:dyDescent="0.25">
      <c r="A39" s="16" t="s">
        <v>402</v>
      </c>
      <c r="B39" s="11" t="s">
        <v>575</v>
      </c>
      <c r="C39" s="16" t="s">
        <v>403</v>
      </c>
      <c r="D39" s="4">
        <f>IF('Indicator Data'!D41="No data","x",IF('Indicator Data'!D41=0,0,IF(LOG('Indicator Data'!D41)&gt;D$149,10,IF(LOG('Indicator Data'!D41)&lt;D$150,0,10-(D$149-LOG('Indicator Data'!D41))/(D$149-D$150)*10))))</f>
        <v>7.1719565294732224</v>
      </c>
      <c r="E39" s="4">
        <f>IF('Indicator Data'!E41="No data","x",IF('Indicator Data'!E41=0,0,IF(LOG('Indicator Data'!E41)&gt;E$149,10,IF(LOG('Indicator Data'!E41)&lt;E$150,0,10-(E$149-LOG('Indicator Data'!E41))/(E$149-E$150)*10))))</f>
        <v>7.7893802097994698</v>
      </c>
      <c r="F39" s="4">
        <f>IF('Indicator Data'!F41="No data","x",IF('Indicator Data'!F41=0,0,IF(LOG('Indicator Data'!F41)&gt;F$149,10,IF(LOG('Indicator Data'!F41)&lt;F$150,0,10-(F$149-LOG('Indicator Data'!F41))/(F$149-F$150)*10))))</f>
        <v>8.9425511057639966</v>
      </c>
      <c r="G39" s="135">
        <f t="shared" si="16"/>
        <v>8.0776729337906019</v>
      </c>
      <c r="H39" s="54">
        <f>IF('Indicator Data'!D41="No data","x",'Indicator Data'!D41/'Indicator Data'!AN41)</f>
        <v>5.8081459687802595E-2</v>
      </c>
      <c r="I39" s="54">
        <f>IF('Indicator Data'!E41="No data","x",'Indicator Data'!E41/'Indicator Data'!$AN41)</f>
        <v>2.6139427868637318E-2</v>
      </c>
      <c r="J39" s="54">
        <f>IF('Indicator Data'!F41="No data","x",'Indicator Data'!F41/'Indicator Data'!$AN41)</f>
        <v>0.1285874592550818</v>
      </c>
      <c r="K39" s="4">
        <f t="shared" si="13"/>
        <v>2.9040729843901296</v>
      </c>
      <c r="L39" s="4">
        <f t="shared" si="14"/>
        <v>1.3069713934318656</v>
      </c>
      <c r="M39" s="4">
        <f t="shared" si="15"/>
        <v>6.4293729627540896</v>
      </c>
      <c r="N39" s="135">
        <f t="shared" si="17"/>
        <v>2.5875717857624219</v>
      </c>
      <c r="O39" s="6">
        <f t="shared" si="18"/>
        <v>5.425269762766102</v>
      </c>
      <c r="P39" s="6">
        <f t="shared" si="19"/>
        <v>6.0262679871391036</v>
      </c>
      <c r="Q39" s="15">
        <f t="shared" si="7"/>
        <v>5.7341592530294481</v>
      </c>
      <c r="R39" s="4">
        <f>IF(VLOOKUP($B39,'Indicator Data (national)'!$B$5:$H$14,6,FALSE)="No data","x",IF(VLOOKUP($B39,'Indicator Data (national)'!$B$5:$H$14,6,FALSE)&gt;R$149,10,IF(VLOOKUP($B39,'Indicator Data (national)'!$B$5:$H$14,6,FALSE)&lt;R$150,0,10-(R$149-VLOOKUP($B39,'Indicator Data (national)'!$B$5:$H$14,6,FALSE))/(R$149-R$150)*10)))</f>
        <v>8.4198248336278194</v>
      </c>
      <c r="S39" s="4">
        <f>IF(VLOOKUP($B39,'Indicator Data (national)'!$B$5:$H$14,7,FALSE)="No data","x",IF(VLOOKUP($B39,'Indicator Data (national)'!$B$5:$H$14,7,FALSE)&gt;S$149,10,IF(VLOOKUP($B39,'Indicator Data (national)'!$B$5:$H$14,7,FALSE)&lt;S$150,0,10-(S$149-VLOOKUP($B39,'Indicator Data (national)'!$B$5:$H$14,7,FALSE))/(S$149-S$150)*10)))</f>
        <v>7.6683965674749661</v>
      </c>
      <c r="T39" s="138">
        <f t="shared" si="8"/>
        <v>8.067210585702945</v>
      </c>
      <c r="U39" s="6">
        <f>IF('Indicator Data'!G41=5,10,IF('Indicator Data'!G41=4,8,IF('Indicator Data'!G41=3,5,IF('Indicator Data'!G41=2,2,IF('Indicator Data'!G41=1,1,0)))))</f>
        <v>0</v>
      </c>
      <c r="V39" s="4">
        <f>IF('Indicator Data'!H41="No data","x",IF('Indicator Data'!H41&gt;1000,10,IF('Indicator Data'!H41&gt;=500,9,IF('Indicator Data'!H41&gt;=240,8,IF('Indicator Data'!H41&gt;=120,7,IF('Indicator Data'!H41&gt;=60,6,IF('Indicator Data'!H41&gt;=20,5,IF('Indicator Data'!H41&gt;=10,4,IF('Indicator Data'!H41&gt;=5,3,0)))))))))</f>
        <v>6</v>
      </c>
      <c r="W39" s="6">
        <f t="shared" si="9"/>
        <v>6</v>
      </c>
      <c r="X39" s="4">
        <f>IF('Indicator Data'!K41="No data","x",IF('Indicator Data'!K41&gt;X$149,0,IF('Indicator Data'!K41&lt;X$150,10,(X$149-'Indicator Data'!K41)/(X$149-X$150)*10)))</f>
        <v>4.66</v>
      </c>
      <c r="Y39" s="6">
        <f t="shared" si="10"/>
        <v>2.33</v>
      </c>
      <c r="Z39" s="7">
        <f t="shared" si="11"/>
        <v>3.5178000000000003</v>
      </c>
      <c r="AA39" s="139">
        <f t="shared" si="12"/>
        <v>7.0336052928514725</v>
      </c>
    </row>
    <row r="40" spans="1:27" s="11" customFormat="1" x14ac:dyDescent="0.25">
      <c r="A40" s="16" t="s">
        <v>404</v>
      </c>
      <c r="B40" s="11" t="s">
        <v>575</v>
      </c>
      <c r="C40" s="16" t="s">
        <v>405</v>
      </c>
      <c r="D40" s="4">
        <f>IF('Indicator Data'!D42="No data","x",IF('Indicator Data'!D42=0,0,IF(LOG('Indicator Data'!D42)&gt;D$149,10,IF(LOG('Indicator Data'!D42)&lt;D$150,0,10-(D$149-LOG('Indicator Data'!D42))/(D$149-D$150)*10))))</f>
        <v>6.2583126125349953</v>
      </c>
      <c r="E40" s="4">
        <f>IF('Indicator Data'!E42="No data","x",IF('Indicator Data'!E42=0,0,IF(LOG('Indicator Data'!E42)&gt;E$149,10,IF(LOG('Indicator Data'!E42)&lt;E$150,0,10-(E$149-LOG('Indicator Data'!E42))/(E$149-E$150)*10))))</f>
        <v>9.1583334798718106</v>
      </c>
      <c r="F40" s="4">
        <f>IF('Indicator Data'!F42="No data","x",IF('Indicator Data'!F42=0,0,IF(LOG('Indicator Data'!F42)&gt;F$149,10,IF(LOG('Indicator Data'!F42)&lt;F$150,0,10-(F$149-LOG('Indicator Data'!F42))/(F$149-F$150)*10))))</f>
        <v>0</v>
      </c>
      <c r="G40" s="135">
        <f t="shared" si="16"/>
        <v>6.8687501099038579</v>
      </c>
      <c r="H40" s="54">
        <f>IF('Indicator Data'!D42="No data","x",'Indicator Data'!D42/'Indicator Data'!AN42)</f>
        <v>4.2105211522030443E-2</v>
      </c>
      <c r="I40" s="54">
        <f>IF('Indicator Data'!E42="No data","x",'Indicator Data'!E42/'Indicator Data'!$AN42)</f>
        <v>0.54766768039240454</v>
      </c>
      <c r="J40" s="54">
        <f>IF('Indicator Data'!F42="No data","x",'Indicator Data'!F42/'Indicator Data'!$AN42)</f>
        <v>0</v>
      </c>
      <c r="K40" s="4">
        <f t="shared" si="13"/>
        <v>2.1052605761015215</v>
      </c>
      <c r="L40" s="4">
        <f t="shared" si="14"/>
        <v>10</v>
      </c>
      <c r="M40" s="4">
        <f t="shared" si="15"/>
        <v>0</v>
      </c>
      <c r="N40" s="135">
        <f t="shared" si="17"/>
        <v>7.5</v>
      </c>
      <c r="O40" s="6">
        <f t="shared" si="18"/>
        <v>4.5002429415969551</v>
      </c>
      <c r="P40" s="6">
        <f t="shared" si="19"/>
        <v>7.1970803308535043</v>
      </c>
      <c r="Q40" s="15">
        <f t="shared" si="7"/>
        <v>6.0243497151241057</v>
      </c>
      <c r="R40" s="4">
        <f>IF(VLOOKUP($B40,'Indicator Data (national)'!$B$5:$H$14,6,FALSE)="No data","x",IF(VLOOKUP($B40,'Indicator Data (national)'!$B$5:$H$14,6,FALSE)&gt;R$149,10,IF(VLOOKUP($B40,'Indicator Data (national)'!$B$5:$H$14,6,FALSE)&lt;R$150,0,10-(R$149-VLOOKUP($B40,'Indicator Data (national)'!$B$5:$H$14,6,FALSE))/(R$149-R$150)*10)))</f>
        <v>8.4198248336278194</v>
      </c>
      <c r="S40" s="4">
        <f>IF(VLOOKUP($B40,'Indicator Data (national)'!$B$5:$H$14,7,FALSE)="No data","x",IF(VLOOKUP($B40,'Indicator Data (national)'!$B$5:$H$14,7,FALSE)&gt;S$149,10,IF(VLOOKUP($B40,'Indicator Data (national)'!$B$5:$H$14,7,FALSE)&lt;S$150,0,10-(S$149-VLOOKUP($B40,'Indicator Data (national)'!$B$5:$H$14,7,FALSE))/(S$149-S$150)*10)))</f>
        <v>7.6683965674749661</v>
      </c>
      <c r="T40" s="138">
        <f t="shared" si="8"/>
        <v>8.067210585702945</v>
      </c>
      <c r="U40" s="6">
        <f>IF('Indicator Data'!G42=5,10,IF('Indicator Data'!G42=4,8,IF('Indicator Data'!G42=3,5,IF('Indicator Data'!G42=2,2,IF('Indicator Data'!G42=1,1,0)))))</f>
        <v>5</v>
      </c>
      <c r="V40" s="4">
        <f>IF('Indicator Data'!H42="No data","x",IF('Indicator Data'!H42&gt;1000,10,IF('Indicator Data'!H42&gt;=500,9,IF('Indicator Data'!H42&gt;=240,8,IF('Indicator Data'!H42&gt;=120,7,IF('Indicator Data'!H42&gt;=60,6,IF('Indicator Data'!H42&gt;=20,5,IF('Indicator Data'!H42&gt;=10,4,IF('Indicator Data'!H42&gt;=5,3,0)))))))))</f>
        <v>9</v>
      </c>
      <c r="W40" s="6">
        <f t="shared" si="9"/>
        <v>9</v>
      </c>
      <c r="X40" s="4">
        <f>IF('Indicator Data'!K42="No data","x",IF('Indicator Data'!K42&gt;X$149,0,IF('Indicator Data'!K42&lt;X$150,10,(X$149-'Indicator Data'!K42)/(X$149-X$150)*10)))</f>
        <v>4.5999999999999996</v>
      </c>
      <c r="Y40" s="6">
        <f t="shared" si="10"/>
        <v>4.8</v>
      </c>
      <c r="Z40" s="7">
        <f t="shared" si="11"/>
        <v>6.1379999999999999</v>
      </c>
      <c r="AA40" s="139">
        <f t="shared" si="12"/>
        <v>9</v>
      </c>
    </row>
    <row r="41" spans="1:27" s="11" customFormat="1" x14ac:dyDescent="0.25">
      <c r="A41" s="16" t="s">
        <v>406</v>
      </c>
      <c r="B41" s="11" t="s">
        <v>575</v>
      </c>
      <c r="C41" s="16" t="s">
        <v>407</v>
      </c>
      <c r="D41" s="4">
        <f>IF('Indicator Data'!D43="No data","x",IF('Indicator Data'!D43=0,0,IF(LOG('Indicator Data'!D43)&gt;D$149,10,IF(LOG('Indicator Data'!D43)&lt;D$150,0,10-(D$149-LOG('Indicator Data'!D43))/(D$149-D$150)*10))))</f>
        <v>5.7935996569887429</v>
      </c>
      <c r="E41" s="4">
        <f>IF('Indicator Data'!E43="No data","x",IF('Indicator Data'!E43=0,0,IF(LOG('Indicator Data'!E43)&gt;E$149,10,IF(LOG('Indicator Data'!E43)&lt;E$150,0,10-(E$149-LOG('Indicator Data'!E43))/(E$149-E$150)*10))))</f>
        <v>8.490421755295813</v>
      </c>
      <c r="F41" s="4">
        <f>IF('Indicator Data'!F43="No data","x",IF('Indicator Data'!F43=0,0,IF(LOG('Indicator Data'!F43)&gt;F$149,10,IF(LOG('Indicator Data'!F43)&lt;F$150,0,10-(F$149-LOG('Indicator Data'!F43))/(F$149-F$150)*10))))</f>
        <v>0</v>
      </c>
      <c r="G41" s="135">
        <f t="shared" si="16"/>
        <v>6.3678163164718597</v>
      </c>
      <c r="H41" s="54">
        <f>IF('Indicator Data'!D43="No data","x",'Indicator Data'!D43/'Indicator Data'!AN43)</f>
        <v>2.1050804467986333E-2</v>
      </c>
      <c r="I41" s="54">
        <f>IF('Indicator Data'!E43="No data","x",'Indicator Data'!E43/'Indicator Data'!$AN43)</f>
        <v>0.23014523660180214</v>
      </c>
      <c r="J41" s="54">
        <f>IF('Indicator Data'!F43="No data","x",'Indicator Data'!F43/'Indicator Data'!$AN43)</f>
        <v>0</v>
      </c>
      <c r="K41" s="4">
        <f t="shared" si="13"/>
        <v>1.0525402233993155</v>
      </c>
      <c r="L41" s="4">
        <f t="shared" si="14"/>
        <v>10</v>
      </c>
      <c r="M41" s="4">
        <f t="shared" si="15"/>
        <v>0</v>
      </c>
      <c r="N41" s="135">
        <f t="shared" si="17"/>
        <v>7.5</v>
      </c>
      <c r="O41" s="6">
        <f t="shared" si="18"/>
        <v>3.7976600852609161</v>
      </c>
      <c r="P41" s="6">
        <f t="shared" si="19"/>
        <v>6.9724441111946769</v>
      </c>
      <c r="Q41" s="15">
        <f t="shared" si="7"/>
        <v>5.609480587694331</v>
      </c>
      <c r="R41" s="4">
        <f>IF(VLOOKUP($B41,'Indicator Data (national)'!$B$5:$H$14,6,FALSE)="No data","x",IF(VLOOKUP($B41,'Indicator Data (national)'!$B$5:$H$14,6,FALSE)&gt;R$149,10,IF(VLOOKUP($B41,'Indicator Data (national)'!$B$5:$H$14,6,FALSE)&lt;R$150,0,10-(R$149-VLOOKUP($B41,'Indicator Data (national)'!$B$5:$H$14,6,FALSE))/(R$149-R$150)*10)))</f>
        <v>8.4198248336278194</v>
      </c>
      <c r="S41" s="4">
        <f>IF(VLOOKUP($B41,'Indicator Data (national)'!$B$5:$H$14,7,FALSE)="No data","x",IF(VLOOKUP($B41,'Indicator Data (national)'!$B$5:$H$14,7,FALSE)&gt;S$149,10,IF(VLOOKUP($B41,'Indicator Data (national)'!$B$5:$H$14,7,FALSE)&lt;S$150,0,10-(S$149-VLOOKUP($B41,'Indicator Data (national)'!$B$5:$H$14,7,FALSE))/(S$149-S$150)*10)))</f>
        <v>7.6683965674749661</v>
      </c>
      <c r="T41" s="138">
        <f t="shared" si="8"/>
        <v>8.067210585702945</v>
      </c>
      <c r="U41" s="6">
        <f>IF('Indicator Data'!G43=5,10,IF('Indicator Data'!G43=4,8,IF('Indicator Data'!G43=3,5,IF('Indicator Data'!G43=2,2,IF('Indicator Data'!G43=1,1,0)))))</f>
        <v>0</v>
      </c>
      <c r="V41" s="4">
        <f>IF('Indicator Data'!H43="No data","x",IF('Indicator Data'!H43&gt;1000,10,IF('Indicator Data'!H43&gt;=500,9,IF('Indicator Data'!H43&gt;=240,8,IF('Indicator Data'!H43&gt;=120,7,IF('Indicator Data'!H43&gt;=60,6,IF('Indicator Data'!H43&gt;=20,5,IF('Indicator Data'!H43&gt;=10,4,IF('Indicator Data'!H43&gt;=5,3,0)))))))))</f>
        <v>5</v>
      </c>
      <c r="W41" s="6">
        <f t="shared" si="9"/>
        <v>5</v>
      </c>
      <c r="X41" s="4">
        <f>IF('Indicator Data'!K43="No data","x",IF('Indicator Data'!K43&gt;X$149,0,IF('Indicator Data'!K43&lt;X$150,10,(X$149-'Indicator Data'!K43)/(X$149-X$150)*10)))</f>
        <v>4.4800000000000004</v>
      </c>
      <c r="Y41" s="6">
        <f t="shared" si="10"/>
        <v>2.2400000000000002</v>
      </c>
      <c r="Z41" s="7">
        <f t="shared" si="11"/>
        <v>3.1284000000000001</v>
      </c>
      <c r="AA41" s="139">
        <f t="shared" si="12"/>
        <v>6.5336052928514725</v>
      </c>
    </row>
    <row r="42" spans="1:27" s="11" customFormat="1" x14ac:dyDescent="0.25">
      <c r="A42" s="16" t="s">
        <v>409</v>
      </c>
      <c r="B42" s="11" t="s">
        <v>576</v>
      </c>
      <c r="C42" s="126" t="s">
        <v>634</v>
      </c>
      <c r="D42" s="4">
        <f>IF('Indicator Data'!D44="No data","x",IF('Indicator Data'!D44=0,0,IF(LOG('Indicator Data'!D44)&gt;D$149,10,IF(LOG('Indicator Data'!D44)&lt;D$150,0,10-(D$149-LOG('Indicator Data'!D44))/(D$149-D$150)*10))))</f>
        <v>6.0387395099159971</v>
      </c>
      <c r="E42" s="4">
        <f>IF('Indicator Data'!E44="No data","x",IF('Indicator Data'!E44=0,0,IF(LOG('Indicator Data'!E44)&gt;E$149,10,IF(LOG('Indicator Data'!E44)&lt;E$150,0,10-(E$149-LOG('Indicator Data'!E44))/(E$149-E$150)*10))))</f>
        <v>3.7933366499367507</v>
      </c>
      <c r="F42" s="4">
        <f>IF('Indicator Data'!F44="No data","x",IF('Indicator Data'!F44=0,0,IF(LOG('Indicator Data'!F44)&gt;F$149,10,IF(LOG('Indicator Data'!F44)&lt;F$150,0,10-(F$149-LOG('Indicator Data'!F44))/(F$149-F$150)*10))))</f>
        <v>5.6460056021409262</v>
      </c>
      <c r="G42" s="135">
        <f t="shared" si="16"/>
        <v>4.2565038879877939</v>
      </c>
      <c r="H42" s="54">
        <f>IF('Indicator Data'!D44="No data","x",'Indicator Data'!D44/'Indicator Data'!AN44)</f>
        <v>0.26209400527602827</v>
      </c>
      <c r="I42" s="54">
        <f>IF('Indicator Data'!E44="No data","x",'Indicator Data'!E44/'Indicator Data'!$AN44)</f>
        <v>2.9331982736388127E-3</v>
      </c>
      <c r="J42" s="54">
        <f>IF('Indicator Data'!F44="No data","x",'Indicator Data'!F44/'Indicator Data'!$AN44)</f>
        <v>3.7926502254274734E-2</v>
      </c>
      <c r="K42" s="4">
        <f t="shared" si="13"/>
        <v>10</v>
      </c>
      <c r="L42" s="4">
        <f t="shared" si="14"/>
        <v>0.14665991368194042</v>
      </c>
      <c r="M42" s="4">
        <f t="shared" si="15"/>
        <v>1.8963251127137362</v>
      </c>
      <c r="N42" s="135">
        <f t="shared" si="17"/>
        <v>0.58407621343988936</v>
      </c>
      <c r="O42" s="6">
        <f t="shared" si="18"/>
        <v>8.7370916407249997</v>
      </c>
      <c r="P42" s="6">
        <f t="shared" si="19"/>
        <v>2.6164840181982973</v>
      </c>
      <c r="Q42" s="15">
        <f t="shared" si="7"/>
        <v>6.6204084809824595</v>
      </c>
      <c r="R42" s="4">
        <f>IF(VLOOKUP($B42,'Indicator Data (national)'!$B$5:$H$14,6,FALSE)="No data","x",IF(VLOOKUP($B42,'Indicator Data (national)'!$B$5:$H$14,6,FALSE)&gt;R$149,10,IF(VLOOKUP($B42,'Indicator Data (national)'!$B$5:$H$14,6,FALSE)&lt;R$150,0,10-(R$149-VLOOKUP($B42,'Indicator Data (national)'!$B$5:$H$14,6,FALSE))/(R$149-R$150)*10)))</f>
        <v>9.5239467647379001</v>
      </c>
      <c r="S42" s="4">
        <f>IF(VLOOKUP($B42,'Indicator Data (national)'!$B$5:$H$14,7,FALSE)="No data","x",IF(VLOOKUP($B42,'Indicator Data (national)'!$B$5:$H$14,7,FALSE)&gt;S$149,10,IF(VLOOKUP($B42,'Indicator Data (national)'!$B$5:$H$14,7,FALSE)&lt;S$150,0,10-(S$149-VLOOKUP($B42,'Indicator Data (national)'!$B$5:$H$14,7,FALSE))/(S$149-S$150)*10)))</f>
        <v>6.420295095728985</v>
      </c>
      <c r="T42" s="138">
        <f t="shared" si="8"/>
        <v>8.3825408014047689</v>
      </c>
      <c r="U42" s="6">
        <f>IF('Indicator Data'!G44=5,10,IF('Indicator Data'!G44=4,8,IF('Indicator Data'!G44=3,5,IF('Indicator Data'!G44=2,2,IF('Indicator Data'!G44=1,1,0)))))</f>
        <v>8</v>
      </c>
      <c r="V42" s="4">
        <f>IF('Indicator Data'!H44="No data","x",IF('Indicator Data'!H44&gt;1000,10,IF('Indicator Data'!H44&gt;=500,9,IF('Indicator Data'!H44&gt;=240,8,IF('Indicator Data'!H44&gt;=120,7,IF('Indicator Data'!H44&gt;=60,6,IF('Indicator Data'!H44&gt;=20,5,IF('Indicator Data'!H44&gt;=10,4,IF('Indicator Data'!H44&gt;=5,3,0)))))))))</f>
        <v>6</v>
      </c>
      <c r="W42" s="6">
        <f t="shared" si="9"/>
        <v>8</v>
      </c>
      <c r="X42" s="4">
        <f>IF('Indicator Data'!K44="No data","x",IF('Indicator Data'!K44&gt;X$149,0,IF('Indicator Data'!K44&lt;X$150,10,(X$149-'Indicator Data'!K44)/(X$149-X$150)*10)))</f>
        <v>3.8351999999999995</v>
      </c>
      <c r="Y42" s="6">
        <f t="shared" si="10"/>
        <v>5.9176000000000002</v>
      </c>
      <c r="Z42" s="7">
        <f t="shared" si="11"/>
        <v>6.5456160000000008</v>
      </c>
      <c r="AA42" s="139">
        <f t="shared" si="12"/>
        <v>8</v>
      </c>
    </row>
    <row r="43" spans="1:27" s="11" customFormat="1" x14ac:dyDescent="0.25">
      <c r="A43" s="16" t="s">
        <v>410</v>
      </c>
      <c r="B43" s="11" t="s">
        <v>576</v>
      </c>
      <c r="C43" s="126" t="s">
        <v>635</v>
      </c>
      <c r="D43" s="4">
        <f>IF('Indicator Data'!D45="No data","x",IF('Indicator Data'!D45=0,0,IF(LOG('Indicator Data'!D45)&gt;D$149,10,IF(LOG('Indicator Data'!D45)&lt;D$150,0,10-(D$149-LOG('Indicator Data'!D45))/(D$149-D$150)*10))))</f>
        <v>6.3379544534044348</v>
      </c>
      <c r="E43" s="4">
        <f>IF('Indicator Data'!E45="No data","x",IF('Indicator Data'!E45=0,0,IF(LOG('Indicator Data'!E45)&gt;E$149,10,IF(LOG('Indicator Data'!E45)&lt;E$150,0,10-(E$149-LOG('Indicator Data'!E45))/(E$149-E$150)*10))))</f>
        <v>0</v>
      </c>
      <c r="F43" s="4">
        <f>IF('Indicator Data'!F45="No data","x",IF('Indicator Data'!F45=0,0,IF(LOG('Indicator Data'!F45)&gt;F$149,10,IF(LOG('Indicator Data'!F45)&lt;F$150,0,10-(F$149-LOG('Indicator Data'!F45))/(F$149-F$150)*10))))</f>
        <v>5.3524015592977818</v>
      </c>
      <c r="G43" s="135">
        <f t="shared" si="16"/>
        <v>1.3381003898244455</v>
      </c>
      <c r="H43" s="54">
        <f>IF('Indicator Data'!D45="No data","x",'Indicator Data'!D45/'Indicator Data'!AN45)</f>
        <v>0.26684876177604255</v>
      </c>
      <c r="I43" s="54">
        <f>IF('Indicator Data'!E45="No data","x",'Indicator Data'!E45/'Indicator Data'!$AN45)</f>
        <v>0</v>
      </c>
      <c r="J43" s="54">
        <f>IF('Indicator Data'!F45="No data","x",'Indicator Data'!F45/'Indicator Data'!$AN45)</f>
        <v>1.589051637342323E-2</v>
      </c>
      <c r="K43" s="4">
        <f t="shared" si="13"/>
        <v>10</v>
      </c>
      <c r="L43" s="4">
        <f t="shared" si="14"/>
        <v>0</v>
      </c>
      <c r="M43" s="4">
        <f t="shared" si="15"/>
        <v>0.79452581867116123</v>
      </c>
      <c r="N43" s="135">
        <f t="shared" si="17"/>
        <v>0.19863145466779031</v>
      </c>
      <c r="O43" s="6">
        <f t="shared" si="18"/>
        <v>8.8081765924041928</v>
      </c>
      <c r="P43" s="6">
        <f t="shared" si="19"/>
        <v>0.7840698756824851</v>
      </c>
      <c r="Q43" s="15">
        <f t="shared" si="7"/>
        <v>6.2343806759549594</v>
      </c>
      <c r="R43" s="4">
        <f>IF(VLOOKUP($B43,'Indicator Data (national)'!$B$5:$H$14,6,FALSE)="No data","x",IF(VLOOKUP($B43,'Indicator Data (national)'!$B$5:$H$14,6,FALSE)&gt;R$149,10,IF(VLOOKUP($B43,'Indicator Data (national)'!$B$5:$H$14,6,FALSE)&lt;R$150,0,10-(R$149-VLOOKUP($B43,'Indicator Data (national)'!$B$5:$H$14,6,FALSE))/(R$149-R$150)*10)))</f>
        <v>9.5239467647379001</v>
      </c>
      <c r="S43" s="4">
        <f>IF(VLOOKUP($B43,'Indicator Data (national)'!$B$5:$H$14,7,FALSE)="No data","x",IF(VLOOKUP($B43,'Indicator Data (national)'!$B$5:$H$14,7,FALSE)&gt;S$149,10,IF(VLOOKUP($B43,'Indicator Data (national)'!$B$5:$H$14,7,FALSE)&lt;S$150,0,10-(S$149-VLOOKUP($B43,'Indicator Data (national)'!$B$5:$H$14,7,FALSE))/(S$149-S$150)*10)))</f>
        <v>6.420295095728985</v>
      </c>
      <c r="T43" s="138">
        <f t="shared" si="8"/>
        <v>8.3825408014047689</v>
      </c>
      <c r="U43" s="6">
        <f>IF('Indicator Data'!G45=5,10,IF('Indicator Data'!G45=4,8,IF('Indicator Data'!G45=3,5,IF('Indicator Data'!G45=2,2,IF('Indicator Data'!G45=1,1,0)))))</f>
        <v>8</v>
      </c>
      <c r="V43" s="4">
        <f>IF('Indicator Data'!H45="No data","x",IF('Indicator Data'!H45&gt;1000,10,IF('Indicator Data'!H45&gt;=500,9,IF('Indicator Data'!H45&gt;=240,8,IF('Indicator Data'!H45&gt;=120,7,IF('Indicator Data'!H45&gt;=60,6,IF('Indicator Data'!H45&gt;=20,5,IF('Indicator Data'!H45&gt;=10,4,IF('Indicator Data'!H45&gt;=5,3,0)))))))))</f>
        <v>0</v>
      </c>
      <c r="W43" s="6">
        <f t="shared" si="9"/>
        <v>8</v>
      </c>
      <c r="X43" s="4">
        <f>IF('Indicator Data'!K45="No data","x",IF('Indicator Data'!K45&gt;X$149,0,IF('Indicator Data'!K45&lt;X$150,10,(X$149-'Indicator Data'!K45)/(X$149-X$150)*10)))</f>
        <v>3.7616000000000001</v>
      </c>
      <c r="Y43" s="6">
        <f t="shared" si="10"/>
        <v>5.8807999999999998</v>
      </c>
      <c r="Z43" s="7">
        <f t="shared" si="11"/>
        <v>6.5213280000000005</v>
      </c>
      <c r="AA43" s="139">
        <f t="shared" si="12"/>
        <v>8</v>
      </c>
    </row>
    <row r="44" spans="1:27" s="11" customFormat="1" x14ac:dyDescent="0.25">
      <c r="A44" s="16" t="s">
        <v>411</v>
      </c>
      <c r="B44" s="11" t="s">
        <v>576</v>
      </c>
      <c r="C44" s="126" t="s">
        <v>636</v>
      </c>
      <c r="D44" s="4">
        <f>IF('Indicator Data'!D46="No data","x",IF('Indicator Data'!D46=0,0,IF(LOG('Indicator Data'!D46)&gt;D$149,10,IF(LOG('Indicator Data'!D46)&lt;D$150,0,10-(D$149-LOG('Indicator Data'!D46))/(D$149-D$150)*10))))</f>
        <v>6.6477400445640358</v>
      </c>
      <c r="E44" s="4">
        <f>IF('Indicator Data'!E46="No data","x",IF('Indicator Data'!E46=0,0,IF(LOG('Indicator Data'!E46)&gt;E$149,10,IF(LOG('Indicator Data'!E46)&lt;E$150,0,10-(E$149-LOG('Indicator Data'!E46))/(E$149-E$150)*10))))</f>
        <v>0</v>
      </c>
      <c r="F44" s="4">
        <f>IF('Indicator Data'!F46="No data","x",IF('Indicator Data'!F46=0,0,IF(LOG('Indicator Data'!F46)&gt;F$149,10,IF(LOG('Indicator Data'!F46)&lt;F$150,0,10-(F$149-LOG('Indicator Data'!F46))/(F$149-F$150)*10))))</f>
        <v>6.1100204288270703</v>
      </c>
      <c r="G44" s="135">
        <f t="shared" si="16"/>
        <v>1.5275051072067676</v>
      </c>
      <c r="H44" s="54">
        <f>IF('Indicator Data'!D46="No data","x",'Indicator Data'!D46/'Indicator Data'!AN46)</f>
        <v>0.28426486001843693</v>
      </c>
      <c r="I44" s="54">
        <f>IF('Indicator Data'!E46="No data","x",'Indicator Data'!E46/'Indicator Data'!$AN46)</f>
        <v>0</v>
      </c>
      <c r="J44" s="54">
        <f>IF('Indicator Data'!F46="No data","x",'Indicator Data'!F46/'Indicator Data'!$AN46)</f>
        <v>2.9262902675876699E-2</v>
      </c>
      <c r="K44" s="4">
        <f t="shared" si="13"/>
        <v>10</v>
      </c>
      <c r="L44" s="4">
        <f t="shared" si="14"/>
        <v>0</v>
      </c>
      <c r="M44" s="4">
        <f t="shared" si="15"/>
        <v>1.4631451337938355</v>
      </c>
      <c r="N44" s="135">
        <f t="shared" si="17"/>
        <v>0.36578628344845887</v>
      </c>
      <c r="O44" s="6">
        <f t="shared" si="18"/>
        <v>8.8841622600926797</v>
      </c>
      <c r="P44" s="6">
        <f t="shared" si="19"/>
        <v>0.96325618840502225</v>
      </c>
      <c r="Q44" s="15">
        <f t="shared" si="7"/>
        <v>6.3572964470311097</v>
      </c>
      <c r="R44" s="4">
        <f>IF(VLOOKUP($B44,'Indicator Data (national)'!$B$5:$H$14,6,FALSE)="No data","x",IF(VLOOKUP($B44,'Indicator Data (national)'!$B$5:$H$14,6,FALSE)&gt;R$149,10,IF(VLOOKUP($B44,'Indicator Data (national)'!$B$5:$H$14,6,FALSE)&lt;R$150,0,10-(R$149-VLOOKUP($B44,'Indicator Data (national)'!$B$5:$H$14,6,FALSE))/(R$149-R$150)*10)))</f>
        <v>9.5239467647379001</v>
      </c>
      <c r="S44" s="4">
        <f>IF(VLOOKUP($B44,'Indicator Data (national)'!$B$5:$H$14,7,FALSE)="No data","x",IF(VLOOKUP($B44,'Indicator Data (national)'!$B$5:$H$14,7,FALSE)&gt;S$149,10,IF(VLOOKUP($B44,'Indicator Data (national)'!$B$5:$H$14,7,FALSE)&lt;S$150,0,10-(S$149-VLOOKUP($B44,'Indicator Data (national)'!$B$5:$H$14,7,FALSE))/(S$149-S$150)*10)))</f>
        <v>6.420295095728985</v>
      </c>
      <c r="T44" s="138">
        <f t="shared" si="8"/>
        <v>8.3825408014047689</v>
      </c>
      <c r="U44" s="6">
        <f>IF('Indicator Data'!G46=5,10,IF('Indicator Data'!G46=4,8,IF('Indicator Data'!G46=3,5,IF('Indicator Data'!G46=2,2,IF('Indicator Data'!G46=1,1,0)))))</f>
        <v>0</v>
      </c>
      <c r="V44" s="4">
        <f>IF('Indicator Data'!H46="No data","x",IF('Indicator Data'!H46&gt;1000,10,IF('Indicator Data'!H46&gt;=500,9,IF('Indicator Data'!H46&gt;=240,8,IF('Indicator Data'!H46&gt;=120,7,IF('Indicator Data'!H46&gt;=60,6,IF('Indicator Data'!H46&gt;=20,5,IF('Indicator Data'!H46&gt;=10,4,IF('Indicator Data'!H46&gt;=5,3,0)))))))))</f>
        <v>3</v>
      </c>
      <c r="W44" s="6">
        <f t="shared" si="9"/>
        <v>3</v>
      </c>
      <c r="X44" s="4">
        <f>IF('Indicator Data'!K46="No data","x",IF('Indicator Data'!K46&gt;X$149,0,IF('Indicator Data'!K46&lt;X$150,10,(X$149-'Indicator Data'!K46)/(X$149-X$150)*10)))</f>
        <v>3.7665999999999999</v>
      </c>
      <c r="Y44" s="6">
        <f t="shared" si="10"/>
        <v>1.8833</v>
      </c>
      <c r="Z44" s="7">
        <f t="shared" si="11"/>
        <v>2.2329780000000001</v>
      </c>
      <c r="AA44" s="139">
        <f t="shared" si="12"/>
        <v>5.6912704007023844</v>
      </c>
    </row>
    <row r="45" spans="1:27" s="11" customFormat="1" x14ac:dyDescent="0.25">
      <c r="A45" s="16" t="s">
        <v>412</v>
      </c>
      <c r="B45" s="11" t="s">
        <v>576</v>
      </c>
      <c r="C45" s="126" t="s">
        <v>637</v>
      </c>
      <c r="D45" s="4">
        <f>IF('Indicator Data'!D47="No data","x",IF('Indicator Data'!D47=0,0,IF(LOG('Indicator Data'!D47)&gt;D$149,10,IF(LOG('Indicator Data'!D47)&lt;D$150,0,10-(D$149-LOG('Indicator Data'!D47))/(D$149-D$150)*10))))</f>
        <v>6.5611467948128475</v>
      </c>
      <c r="E45" s="4">
        <f>IF('Indicator Data'!E47="No data","x",IF('Indicator Data'!E47=0,0,IF(LOG('Indicator Data'!E47)&gt;E$149,10,IF(LOG('Indicator Data'!E47)&lt;E$150,0,10-(E$149-LOG('Indicator Data'!E47))/(E$149-E$150)*10))))</f>
        <v>0</v>
      </c>
      <c r="F45" s="4">
        <f>IF('Indicator Data'!F47="No data","x",IF('Indicator Data'!F47=0,0,IF(LOG('Indicator Data'!F47)&gt;F$149,10,IF(LOG('Indicator Data'!F47)&lt;F$150,0,10-(F$149-LOG('Indicator Data'!F47))/(F$149-F$150)*10))))</f>
        <v>7.5643712332795197</v>
      </c>
      <c r="G45" s="135">
        <f t="shared" si="16"/>
        <v>1.8910928083198799</v>
      </c>
      <c r="H45" s="54">
        <f>IF('Indicator Data'!D47="No data","x",'Indicator Data'!D47/'Indicator Data'!AN47)</f>
        <v>0.46835109945840431</v>
      </c>
      <c r="I45" s="54">
        <f>IF('Indicator Data'!E47="No data","x",'Indicator Data'!E47/'Indicator Data'!$AN47)</f>
        <v>0</v>
      </c>
      <c r="J45" s="54">
        <f>IF('Indicator Data'!F47="No data","x",'Indicator Data'!F47/'Indicator Data'!$AN47)</f>
        <v>0.41342004286835204</v>
      </c>
      <c r="K45" s="4">
        <f t="shared" si="13"/>
        <v>10</v>
      </c>
      <c r="L45" s="4">
        <f t="shared" si="14"/>
        <v>0</v>
      </c>
      <c r="M45" s="4">
        <f t="shared" si="15"/>
        <v>10</v>
      </c>
      <c r="N45" s="135">
        <f t="shared" si="17"/>
        <v>2.5</v>
      </c>
      <c r="O45" s="6">
        <f t="shared" si="18"/>
        <v>8.8626636674295671</v>
      </c>
      <c r="P45" s="6">
        <f t="shared" si="19"/>
        <v>2.200746244742652</v>
      </c>
      <c r="Q45" s="15">
        <f t="shared" si="7"/>
        <v>6.6351210411873618</v>
      </c>
      <c r="R45" s="4">
        <f>IF(VLOOKUP($B45,'Indicator Data (national)'!$B$5:$H$14,6,FALSE)="No data","x",IF(VLOOKUP($B45,'Indicator Data (national)'!$B$5:$H$14,6,FALSE)&gt;R$149,10,IF(VLOOKUP($B45,'Indicator Data (national)'!$B$5:$H$14,6,FALSE)&lt;R$150,0,10-(R$149-VLOOKUP($B45,'Indicator Data (national)'!$B$5:$H$14,6,FALSE))/(R$149-R$150)*10)))</f>
        <v>9.5239467647379001</v>
      </c>
      <c r="S45" s="4">
        <f>IF(VLOOKUP($B45,'Indicator Data (national)'!$B$5:$H$14,7,FALSE)="No data","x",IF(VLOOKUP($B45,'Indicator Data (national)'!$B$5:$H$14,7,FALSE)&gt;S$149,10,IF(VLOOKUP($B45,'Indicator Data (national)'!$B$5:$H$14,7,FALSE)&lt;S$150,0,10-(S$149-VLOOKUP($B45,'Indicator Data (national)'!$B$5:$H$14,7,FALSE))/(S$149-S$150)*10)))</f>
        <v>6.420295095728985</v>
      </c>
      <c r="T45" s="138">
        <f t="shared" si="8"/>
        <v>8.3825408014047689</v>
      </c>
      <c r="U45" s="6">
        <f>IF('Indicator Data'!G47=5,10,IF('Indicator Data'!G47=4,8,IF('Indicator Data'!G47=3,5,IF('Indicator Data'!G47=2,2,IF('Indicator Data'!G47=1,1,0)))))</f>
        <v>0</v>
      </c>
      <c r="V45" s="4">
        <f>IF('Indicator Data'!H47="No data","x",IF('Indicator Data'!H47&gt;1000,10,IF('Indicator Data'!H47&gt;=500,9,IF('Indicator Data'!H47&gt;=240,8,IF('Indicator Data'!H47&gt;=120,7,IF('Indicator Data'!H47&gt;=60,6,IF('Indicator Data'!H47&gt;=20,5,IF('Indicator Data'!H47&gt;=10,4,IF('Indicator Data'!H47&gt;=5,3,0)))))))))</f>
        <v>4</v>
      </c>
      <c r="W45" s="6">
        <f t="shared" si="9"/>
        <v>4</v>
      </c>
      <c r="X45" s="4">
        <f>IF('Indicator Data'!K47="No data","x",IF('Indicator Data'!K47&gt;X$149,0,IF('Indicator Data'!K47&lt;X$150,10,(X$149-'Indicator Data'!K47)/(X$149-X$150)*10)))</f>
        <v>3.7085999999999997</v>
      </c>
      <c r="Y45" s="6">
        <f t="shared" si="10"/>
        <v>1.8542999999999998</v>
      </c>
      <c r="Z45" s="7">
        <f t="shared" si="11"/>
        <v>2.543838</v>
      </c>
      <c r="AA45" s="139">
        <f t="shared" si="12"/>
        <v>6.1912704007023844</v>
      </c>
    </row>
    <row r="46" spans="1:27" s="11" customFormat="1" x14ac:dyDescent="0.25">
      <c r="A46" s="16" t="s">
        <v>413</v>
      </c>
      <c r="B46" s="11" t="s">
        <v>576</v>
      </c>
      <c r="C46" s="126" t="s">
        <v>638</v>
      </c>
      <c r="D46" s="4">
        <f>IF('Indicator Data'!D48="No data","x",IF('Indicator Data'!D48=0,0,IF(LOG('Indicator Data'!D48)&gt;D$149,10,IF(LOG('Indicator Data'!D48)&lt;D$150,0,10-(D$149-LOG('Indicator Data'!D48))/(D$149-D$150)*10))))</f>
        <v>5.5188201480857888</v>
      </c>
      <c r="E46" s="4">
        <f>IF('Indicator Data'!E48="No data","x",IF('Indicator Data'!E48=0,0,IF(LOG('Indicator Data'!E48)&gt;E$149,10,IF(LOG('Indicator Data'!E48)&lt;E$150,0,10-(E$149-LOG('Indicator Data'!E48))/(E$149-E$150)*10))))</f>
        <v>5.1924068057270656</v>
      </c>
      <c r="F46" s="4">
        <f>IF('Indicator Data'!F48="No data","x",IF('Indicator Data'!F48=0,0,IF(LOG('Indicator Data'!F48)&gt;F$149,10,IF(LOG('Indicator Data'!F48)&lt;F$150,0,10-(F$149-LOG('Indicator Data'!F48))/(F$149-F$150)*10))))</f>
        <v>6.0867224903838739</v>
      </c>
      <c r="G46" s="135">
        <f t="shared" si="16"/>
        <v>5.4159857268912681</v>
      </c>
      <c r="H46" s="54">
        <f>IF('Indicator Data'!D48="No data","x",'Indicator Data'!D48/'Indicator Data'!AN48)</f>
        <v>0.17284830799330161</v>
      </c>
      <c r="I46" s="54">
        <f>IF('Indicator Data'!E48="No data","x",'Indicator Data'!E48/'Indicator Data'!$AN48)</f>
        <v>3.0898337482324352E-2</v>
      </c>
      <c r="J46" s="54">
        <f>IF('Indicator Data'!F48="No data","x",'Indicator Data'!F48/'Indicator Data'!$AN48)</f>
        <v>0.10629786044704885</v>
      </c>
      <c r="K46" s="4">
        <f t="shared" si="13"/>
        <v>8.6424153996650794</v>
      </c>
      <c r="L46" s="4">
        <f t="shared" si="14"/>
        <v>1.5449168741162165</v>
      </c>
      <c r="M46" s="4">
        <f t="shared" si="15"/>
        <v>5.3148930223524422</v>
      </c>
      <c r="N46" s="135">
        <f t="shared" si="17"/>
        <v>2.4874109111752727</v>
      </c>
      <c r="O46" s="6">
        <f t="shared" si="18"/>
        <v>7.3955136197809468</v>
      </c>
      <c r="P46" s="6">
        <f t="shared" si="19"/>
        <v>4.1030404840015127</v>
      </c>
      <c r="Q46" s="15">
        <f t="shared" si="7"/>
        <v>6.0082521437132241</v>
      </c>
      <c r="R46" s="4">
        <f>IF(VLOOKUP($B46,'Indicator Data (national)'!$B$5:$H$14,6,FALSE)="No data","x",IF(VLOOKUP($B46,'Indicator Data (national)'!$B$5:$H$14,6,FALSE)&gt;R$149,10,IF(VLOOKUP($B46,'Indicator Data (national)'!$B$5:$H$14,6,FALSE)&lt;R$150,0,10-(R$149-VLOOKUP($B46,'Indicator Data (national)'!$B$5:$H$14,6,FALSE))/(R$149-R$150)*10)))</f>
        <v>9.5239467647379001</v>
      </c>
      <c r="S46" s="4">
        <f>IF(VLOOKUP($B46,'Indicator Data (national)'!$B$5:$H$14,7,FALSE)="No data","x",IF(VLOOKUP($B46,'Indicator Data (national)'!$B$5:$H$14,7,FALSE)&gt;S$149,10,IF(VLOOKUP($B46,'Indicator Data (national)'!$B$5:$H$14,7,FALSE)&lt;S$150,0,10-(S$149-VLOOKUP($B46,'Indicator Data (national)'!$B$5:$H$14,7,FALSE))/(S$149-S$150)*10)))</f>
        <v>6.420295095728985</v>
      </c>
      <c r="T46" s="138">
        <f t="shared" si="8"/>
        <v>8.3825408014047689</v>
      </c>
      <c r="U46" s="6">
        <f>IF('Indicator Data'!G48=5,10,IF('Indicator Data'!G48=4,8,IF('Indicator Data'!G48=3,5,IF('Indicator Data'!G48=2,2,IF('Indicator Data'!G48=1,1,0)))))</f>
        <v>8</v>
      </c>
      <c r="V46" s="4">
        <f>IF('Indicator Data'!H48="No data","x",IF('Indicator Data'!H48&gt;1000,10,IF('Indicator Data'!H48&gt;=500,9,IF('Indicator Data'!H48&gt;=240,8,IF('Indicator Data'!H48&gt;=120,7,IF('Indicator Data'!H48&gt;=60,6,IF('Indicator Data'!H48&gt;=20,5,IF('Indicator Data'!H48&gt;=10,4,IF('Indicator Data'!H48&gt;=5,3,0)))))))))</f>
        <v>0</v>
      </c>
      <c r="W46" s="6">
        <f t="shared" si="9"/>
        <v>8</v>
      </c>
      <c r="X46" s="4">
        <f>IF('Indicator Data'!K48="No data","x",IF('Indicator Data'!K48&gt;X$149,0,IF('Indicator Data'!K48&lt;X$150,10,(X$149-'Indicator Data'!K48)/(X$149-X$150)*10)))</f>
        <v>3.7658000000000005</v>
      </c>
      <c r="Y46" s="6">
        <f t="shared" si="10"/>
        <v>5.8829000000000002</v>
      </c>
      <c r="Z46" s="7">
        <f t="shared" si="11"/>
        <v>6.5227140000000006</v>
      </c>
      <c r="AA46" s="139">
        <f t="shared" si="12"/>
        <v>8</v>
      </c>
    </row>
    <row r="47" spans="1:27" s="11" customFormat="1" x14ac:dyDescent="0.25">
      <c r="A47" s="16" t="s">
        <v>414</v>
      </c>
      <c r="B47" s="11" t="s">
        <v>576</v>
      </c>
      <c r="C47" s="126" t="s">
        <v>639</v>
      </c>
      <c r="D47" s="4">
        <f>IF('Indicator Data'!D49="No data","x",IF('Indicator Data'!D49=0,0,IF(LOG('Indicator Data'!D49)&gt;D$149,10,IF(LOG('Indicator Data'!D49)&lt;D$150,0,10-(D$149-LOG('Indicator Data'!D49))/(D$149-D$150)*10))))</f>
        <v>5.5525242949855249</v>
      </c>
      <c r="E47" s="4">
        <f>IF('Indicator Data'!E49="No data","x",IF('Indicator Data'!E49=0,0,IF(LOG('Indicator Data'!E49)&gt;E$149,10,IF(LOG('Indicator Data'!E49)&lt;E$150,0,10-(E$149-LOG('Indicator Data'!E49))/(E$149-E$150)*10))))</f>
        <v>7.1900316434910572</v>
      </c>
      <c r="F47" s="4">
        <f>IF('Indicator Data'!F49="No data","x",IF('Indicator Data'!F49=0,0,IF(LOG('Indicator Data'!F49)&gt;F$149,10,IF(LOG('Indicator Data'!F49)&lt;F$150,0,10-(F$149-LOG('Indicator Data'!F49))/(F$149-F$150)*10))))</f>
        <v>0</v>
      </c>
      <c r="G47" s="135">
        <f t="shared" si="16"/>
        <v>5.3925237326182929</v>
      </c>
      <c r="H47" s="54">
        <f>IF('Indicator Data'!D49="No data","x",'Indicator Data'!D49/'Indicator Data'!AN49)</f>
        <v>0.13042043150172486</v>
      </c>
      <c r="I47" s="54">
        <f>IF('Indicator Data'!E49="No data","x",'Indicator Data'!E49/'Indicator Data'!$AN49)</f>
        <v>0.34881697569628994</v>
      </c>
      <c r="J47" s="54">
        <f>IF('Indicator Data'!F49="No data","x",'Indicator Data'!F49/'Indicator Data'!$AN49)</f>
        <v>0</v>
      </c>
      <c r="K47" s="4">
        <f t="shared" si="13"/>
        <v>6.5210215750862428</v>
      </c>
      <c r="L47" s="4">
        <f t="shared" si="14"/>
        <v>10</v>
      </c>
      <c r="M47" s="4">
        <f t="shared" si="15"/>
        <v>0</v>
      </c>
      <c r="N47" s="135">
        <f t="shared" si="17"/>
        <v>7.5</v>
      </c>
      <c r="O47" s="6">
        <f t="shared" si="18"/>
        <v>6.0599319240515346</v>
      </c>
      <c r="P47" s="6">
        <f t="shared" si="19"/>
        <v>6.5668340044267959</v>
      </c>
      <c r="Q47" s="15">
        <f t="shared" si="7"/>
        <v>6.3200822089320479</v>
      </c>
      <c r="R47" s="4">
        <f>IF(VLOOKUP($B47,'Indicator Data (national)'!$B$5:$H$14,6,FALSE)="No data","x",IF(VLOOKUP($B47,'Indicator Data (national)'!$B$5:$H$14,6,FALSE)&gt;R$149,10,IF(VLOOKUP($B47,'Indicator Data (national)'!$B$5:$H$14,6,FALSE)&lt;R$150,0,10-(R$149-VLOOKUP($B47,'Indicator Data (national)'!$B$5:$H$14,6,FALSE))/(R$149-R$150)*10)))</f>
        <v>9.5239467647379001</v>
      </c>
      <c r="S47" s="4">
        <f>IF(VLOOKUP($B47,'Indicator Data (national)'!$B$5:$H$14,7,FALSE)="No data","x",IF(VLOOKUP($B47,'Indicator Data (national)'!$B$5:$H$14,7,FALSE)&gt;S$149,10,IF(VLOOKUP($B47,'Indicator Data (national)'!$B$5:$H$14,7,FALSE)&lt;S$150,0,10-(S$149-VLOOKUP($B47,'Indicator Data (national)'!$B$5:$H$14,7,FALSE))/(S$149-S$150)*10)))</f>
        <v>6.420295095728985</v>
      </c>
      <c r="T47" s="138">
        <f t="shared" si="8"/>
        <v>8.3825408014047689</v>
      </c>
      <c r="U47" s="6">
        <f>IF('Indicator Data'!G49=5,10,IF('Indicator Data'!G49=4,8,IF('Indicator Data'!G49=3,5,IF('Indicator Data'!G49=2,2,IF('Indicator Data'!G49=1,1,0)))))</f>
        <v>5</v>
      </c>
      <c r="V47" s="4">
        <f>IF('Indicator Data'!H49="No data","x",IF('Indicator Data'!H49&gt;1000,10,IF('Indicator Data'!H49&gt;=500,9,IF('Indicator Data'!H49&gt;=240,8,IF('Indicator Data'!H49&gt;=120,7,IF('Indicator Data'!H49&gt;=60,6,IF('Indicator Data'!H49&gt;=20,5,IF('Indicator Data'!H49&gt;=10,4,IF('Indicator Data'!H49&gt;=5,3,0)))))))))</f>
        <v>5</v>
      </c>
      <c r="W47" s="6">
        <f t="shared" si="9"/>
        <v>5</v>
      </c>
      <c r="X47" s="4">
        <f>IF('Indicator Data'!K49="No data","x",IF('Indicator Data'!K49&gt;X$149,0,IF('Indicator Data'!K49&lt;X$150,10,(X$149-'Indicator Data'!K49)/(X$149-X$150)*10)))</f>
        <v>3.9008000000000003</v>
      </c>
      <c r="Y47" s="6">
        <f t="shared" si="10"/>
        <v>4.4504000000000001</v>
      </c>
      <c r="Z47" s="7">
        <f t="shared" si="11"/>
        <v>4.5872640000000002</v>
      </c>
      <c r="AA47" s="139">
        <f t="shared" si="12"/>
        <v>6.6912704007023844</v>
      </c>
    </row>
    <row r="48" spans="1:27" s="11" customFormat="1" x14ac:dyDescent="0.25">
      <c r="A48" s="16" t="s">
        <v>415</v>
      </c>
      <c r="B48" s="11" t="s">
        <v>576</v>
      </c>
      <c r="C48" s="126" t="s">
        <v>640</v>
      </c>
      <c r="D48" s="4">
        <f>IF('Indicator Data'!D50="No data","x",IF('Indicator Data'!D50=0,0,IF(LOG('Indicator Data'!D50)&gt;D$149,10,IF(LOG('Indicator Data'!D50)&lt;D$150,0,10-(D$149-LOG('Indicator Data'!D50))/(D$149-D$150)*10))))</f>
        <v>6.1489920683033752</v>
      </c>
      <c r="E48" s="4">
        <f>IF('Indicator Data'!E50="No data","x",IF('Indicator Data'!E50=0,0,IF(LOG('Indicator Data'!E50)&gt;E$149,10,IF(LOG('Indicator Data'!E50)&lt;E$150,0,10-(E$149-LOG('Indicator Data'!E50))/(E$149-E$150)*10))))</f>
        <v>7.5077934457067403</v>
      </c>
      <c r="F48" s="4">
        <f>IF('Indicator Data'!F50="No data","x",IF('Indicator Data'!F50=0,0,IF(LOG('Indicator Data'!F50)&gt;F$149,10,IF(LOG('Indicator Data'!F50)&lt;F$150,0,10-(F$149-LOG('Indicator Data'!F50))/(F$149-F$150)*10))))</f>
        <v>0</v>
      </c>
      <c r="G48" s="135">
        <f t="shared" si="16"/>
        <v>5.6308450842800557</v>
      </c>
      <c r="H48" s="54">
        <f>IF('Indicator Data'!D50="No data","x",'Indicator Data'!D50/'Indicator Data'!AN50)</f>
        <v>0.29002571974260105</v>
      </c>
      <c r="I48" s="54">
        <f>IF('Indicator Data'!E50="No data","x",'Indicator Data'!E50/'Indicator Data'!$AN50)</f>
        <v>0.46006387477205574</v>
      </c>
      <c r="J48" s="54">
        <f>IF('Indicator Data'!F50="No data","x",'Indicator Data'!F50/'Indicator Data'!$AN50)</f>
        <v>0</v>
      </c>
      <c r="K48" s="4">
        <f t="shared" si="13"/>
        <v>10</v>
      </c>
      <c r="L48" s="4">
        <f t="shared" si="14"/>
        <v>10</v>
      </c>
      <c r="M48" s="4">
        <f t="shared" si="15"/>
        <v>0</v>
      </c>
      <c r="N48" s="135">
        <f t="shared" si="17"/>
        <v>7.5</v>
      </c>
      <c r="O48" s="6">
        <f t="shared" si="18"/>
        <v>8.7630341100058011</v>
      </c>
      <c r="P48" s="6">
        <f t="shared" si="19"/>
        <v>6.6625327380424331</v>
      </c>
      <c r="Q48" s="15">
        <f t="shared" si="7"/>
        <v>7.8791450584711642</v>
      </c>
      <c r="R48" s="4">
        <f>IF(VLOOKUP($B48,'Indicator Data (national)'!$B$5:$H$14,6,FALSE)="No data","x",IF(VLOOKUP($B48,'Indicator Data (national)'!$B$5:$H$14,6,FALSE)&gt;R$149,10,IF(VLOOKUP($B48,'Indicator Data (national)'!$B$5:$H$14,6,FALSE)&lt;R$150,0,10-(R$149-VLOOKUP($B48,'Indicator Data (national)'!$B$5:$H$14,6,FALSE))/(R$149-R$150)*10)))</f>
        <v>9.5239467647379001</v>
      </c>
      <c r="S48" s="4">
        <f>IF(VLOOKUP($B48,'Indicator Data (national)'!$B$5:$H$14,7,FALSE)="No data","x",IF(VLOOKUP($B48,'Indicator Data (national)'!$B$5:$H$14,7,FALSE)&gt;S$149,10,IF(VLOOKUP($B48,'Indicator Data (national)'!$B$5:$H$14,7,FALSE)&lt;S$150,0,10-(S$149-VLOOKUP($B48,'Indicator Data (national)'!$B$5:$H$14,7,FALSE))/(S$149-S$150)*10)))</f>
        <v>6.420295095728985</v>
      </c>
      <c r="T48" s="138">
        <f t="shared" si="8"/>
        <v>8.3825408014047689</v>
      </c>
      <c r="U48" s="6">
        <f>IF('Indicator Data'!G50=5,10,IF('Indicator Data'!G50=4,8,IF('Indicator Data'!G50=3,5,IF('Indicator Data'!G50=2,2,IF('Indicator Data'!G50=1,1,0)))))</f>
        <v>5</v>
      </c>
      <c r="V48" s="4">
        <f>IF('Indicator Data'!H50="No data","x",IF('Indicator Data'!H50&gt;1000,10,IF('Indicator Data'!H50&gt;=500,9,IF('Indicator Data'!H50&gt;=240,8,IF('Indicator Data'!H50&gt;=120,7,IF('Indicator Data'!H50&gt;=60,6,IF('Indicator Data'!H50&gt;=20,5,IF('Indicator Data'!H50&gt;=10,4,IF('Indicator Data'!H50&gt;=5,3,0)))))))))</f>
        <v>7</v>
      </c>
      <c r="W48" s="6">
        <f t="shared" si="9"/>
        <v>7</v>
      </c>
      <c r="X48" s="4">
        <f>IF('Indicator Data'!K50="No data","x",IF('Indicator Data'!K50&gt;X$149,0,IF('Indicator Data'!K50&lt;X$150,10,(X$149-'Indicator Data'!K50)/(X$149-X$150)*10)))</f>
        <v>3.6936</v>
      </c>
      <c r="Y48" s="6">
        <f t="shared" si="10"/>
        <v>4.3468</v>
      </c>
      <c r="Z48" s="7">
        <f t="shared" si="11"/>
        <v>5.1788880000000006</v>
      </c>
      <c r="AA48" s="139">
        <f t="shared" si="12"/>
        <v>7.6912704007023844</v>
      </c>
    </row>
    <row r="49" spans="1:27" s="11" customFormat="1" x14ac:dyDescent="0.25">
      <c r="A49" s="16" t="s">
        <v>416</v>
      </c>
      <c r="B49" s="11" t="s">
        <v>576</v>
      </c>
      <c r="C49" s="126" t="s">
        <v>641</v>
      </c>
      <c r="D49" s="4">
        <f>IF('Indicator Data'!D51="No data","x",IF('Indicator Data'!D51=0,0,IF(LOG('Indicator Data'!D51)&gt;D$149,10,IF(LOG('Indicator Data'!D51)&lt;D$150,0,10-(D$149-LOG('Indicator Data'!D51))/(D$149-D$150)*10))))</f>
        <v>6.7710198884852053</v>
      </c>
      <c r="E49" s="4">
        <f>IF('Indicator Data'!E51="No data","x",IF('Indicator Data'!E51=0,0,IF(LOG('Indicator Data'!E51)&gt;E$149,10,IF(LOG('Indicator Data'!E51)&lt;E$150,0,10-(E$149-LOG('Indicator Data'!E51))/(E$149-E$150)*10))))</f>
        <v>0</v>
      </c>
      <c r="F49" s="4">
        <f>IF('Indicator Data'!F51="No data","x",IF('Indicator Data'!F51=0,0,IF(LOG('Indicator Data'!F51)&gt;F$149,10,IF(LOG('Indicator Data'!F51)&lt;F$150,0,10-(F$149-LOG('Indicator Data'!F51))/(F$149-F$150)*10))))</f>
        <v>8.2313180407107005</v>
      </c>
      <c r="G49" s="135">
        <f t="shared" si="16"/>
        <v>2.0578295101776751</v>
      </c>
      <c r="H49" s="54">
        <f>IF('Indicator Data'!D51="No data","x",'Indicator Data'!D51/'Indicator Data'!AN51)</f>
        <v>0.50407257013411855</v>
      </c>
      <c r="I49" s="54">
        <f>IF('Indicator Data'!E51="No data","x",'Indicator Data'!E51/'Indicator Data'!$AN51)</f>
        <v>0</v>
      </c>
      <c r="J49" s="54">
        <f>IF('Indicator Data'!F51="No data","x",'Indicator Data'!F51/'Indicator Data'!$AN51)</f>
        <v>0.79720491535442461</v>
      </c>
      <c r="K49" s="4">
        <f t="shared" si="13"/>
        <v>10</v>
      </c>
      <c r="L49" s="4">
        <f t="shared" si="14"/>
        <v>0</v>
      </c>
      <c r="M49" s="4">
        <f t="shared" si="15"/>
        <v>10</v>
      </c>
      <c r="N49" s="135">
        <f t="shared" si="17"/>
        <v>2.5</v>
      </c>
      <c r="O49" s="6">
        <f t="shared" si="18"/>
        <v>8.9151321538586856</v>
      </c>
      <c r="P49" s="6">
        <f t="shared" si="19"/>
        <v>2.2816822628890647</v>
      </c>
      <c r="Q49" s="15">
        <f t="shared" si="7"/>
        <v>6.7077896425770298</v>
      </c>
      <c r="R49" s="4">
        <f>IF(VLOOKUP($B49,'Indicator Data (national)'!$B$5:$H$14,6,FALSE)="No data","x",IF(VLOOKUP($B49,'Indicator Data (national)'!$B$5:$H$14,6,FALSE)&gt;R$149,10,IF(VLOOKUP($B49,'Indicator Data (national)'!$B$5:$H$14,6,FALSE)&lt;R$150,0,10-(R$149-VLOOKUP($B49,'Indicator Data (national)'!$B$5:$H$14,6,FALSE))/(R$149-R$150)*10)))</f>
        <v>9.5239467647379001</v>
      </c>
      <c r="S49" s="4">
        <f>IF(VLOOKUP($B49,'Indicator Data (national)'!$B$5:$H$14,7,FALSE)="No data","x",IF(VLOOKUP($B49,'Indicator Data (national)'!$B$5:$H$14,7,FALSE)&gt;S$149,10,IF(VLOOKUP($B49,'Indicator Data (national)'!$B$5:$H$14,7,FALSE)&lt;S$150,0,10-(S$149-VLOOKUP($B49,'Indicator Data (national)'!$B$5:$H$14,7,FALSE))/(S$149-S$150)*10)))</f>
        <v>6.420295095728985</v>
      </c>
      <c r="T49" s="138">
        <f t="shared" si="8"/>
        <v>8.3825408014047689</v>
      </c>
      <c r="U49" s="6">
        <f>IF('Indicator Data'!G51=5,10,IF('Indicator Data'!G51=4,8,IF('Indicator Data'!G51=3,5,IF('Indicator Data'!G51=2,2,IF('Indicator Data'!G51=1,1,0)))))</f>
        <v>0</v>
      </c>
      <c r="V49" s="4">
        <f>IF('Indicator Data'!H51="No data","x",IF('Indicator Data'!H51&gt;1000,10,IF('Indicator Data'!H51&gt;=500,9,IF('Indicator Data'!H51&gt;=240,8,IF('Indicator Data'!H51&gt;=120,7,IF('Indicator Data'!H51&gt;=60,6,IF('Indicator Data'!H51&gt;=20,5,IF('Indicator Data'!H51&gt;=10,4,IF('Indicator Data'!H51&gt;=5,3,0)))))))))</f>
        <v>0</v>
      </c>
      <c r="W49" s="6">
        <f t="shared" si="9"/>
        <v>0</v>
      </c>
      <c r="X49" s="4">
        <f>IF('Indicator Data'!K51="No data","x",IF('Indicator Data'!K51&gt;X$149,0,IF('Indicator Data'!K51&lt;X$150,10,(X$149-'Indicator Data'!K51)/(X$149-X$150)*10)))</f>
        <v>3.6614000000000004</v>
      </c>
      <c r="Y49" s="6">
        <f t="shared" si="10"/>
        <v>1.8307000000000002</v>
      </c>
      <c r="Z49" s="7">
        <f t="shared" si="11"/>
        <v>1.2082620000000002</v>
      </c>
      <c r="AA49" s="139">
        <f t="shared" si="12"/>
        <v>4.1912704007023844</v>
      </c>
    </row>
    <row r="50" spans="1:27" s="11" customFormat="1" x14ac:dyDescent="0.25">
      <c r="A50" s="16" t="s">
        <v>417</v>
      </c>
      <c r="B50" s="11" t="s">
        <v>576</v>
      </c>
      <c r="C50" s="126" t="s">
        <v>642</v>
      </c>
      <c r="D50" s="4">
        <f>IF('Indicator Data'!D52="No data","x",IF('Indicator Data'!D52=0,0,IF(LOG('Indicator Data'!D52)&gt;D$149,10,IF(LOG('Indicator Data'!D52)&lt;D$150,0,10-(D$149-LOG('Indicator Data'!D52))/(D$149-D$150)*10))))</f>
        <v>4.6456491403248616</v>
      </c>
      <c r="E50" s="4">
        <f>IF('Indicator Data'!E52="No data","x",IF('Indicator Data'!E52=0,0,IF(LOG('Indicator Data'!E52)&gt;E$149,10,IF(LOG('Indicator Data'!E52)&lt;E$150,0,10-(E$149-LOG('Indicator Data'!E52))/(E$149-E$150)*10))))</f>
        <v>6.9827738891716935</v>
      </c>
      <c r="F50" s="4">
        <f>IF('Indicator Data'!F52="No data","x",IF('Indicator Data'!F52=0,0,IF(LOG('Indicator Data'!F52)&gt;F$149,10,IF(LOG('Indicator Data'!F52)&lt;F$150,0,10-(F$149-LOG('Indicator Data'!F52))/(F$149-F$150)*10))))</f>
        <v>0</v>
      </c>
      <c r="G50" s="135">
        <f t="shared" si="16"/>
        <v>5.2370804168787704</v>
      </c>
      <c r="H50" s="54">
        <f>IF('Indicator Data'!D52="No data","x",'Indicator Data'!D52/'Indicator Data'!AN52)</f>
        <v>0.10489198409855607</v>
      </c>
      <c r="I50" s="54">
        <f>IF('Indicator Data'!E52="No data","x",'Indicator Data'!E52/'Indicator Data'!$AN52)</f>
        <v>0.90876634624983121</v>
      </c>
      <c r="J50" s="54">
        <f>IF('Indicator Data'!F52="No data","x",'Indicator Data'!F52/'Indicator Data'!$AN52)</f>
        <v>0</v>
      </c>
      <c r="K50" s="4">
        <f t="shared" si="13"/>
        <v>5.2445992049278036</v>
      </c>
      <c r="L50" s="4">
        <f t="shared" si="14"/>
        <v>10</v>
      </c>
      <c r="M50" s="4">
        <f t="shared" si="15"/>
        <v>0</v>
      </c>
      <c r="N50" s="135">
        <f t="shared" si="17"/>
        <v>7.5</v>
      </c>
      <c r="O50" s="6">
        <f t="shared" si="18"/>
        <v>4.952401048882745</v>
      </c>
      <c r="P50" s="6">
        <f t="shared" si="19"/>
        <v>6.5054865598748588</v>
      </c>
      <c r="Q50" s="15">
        <f t="shared" si="7"/>
        <v>5.7852584782883909</v>
      </c>
      <c r="R50" s="4">
        <f>IF(VLOOKUP($B50,'Indicator Data (national)'!$B$5:$H$14,6,FALSE)="No data","x",IF(VLOOKUP($B50,'Indicator Data (national)'!$B$5:$H$14,6,FALSE)&gt;R$149,10,IF(VLOOKUP($B50,'Indicator Data (national)'!$B$5:$H$14,6,FALSE)&lt;R$150,0,10-(R$149-VLOOKUP($B50,'Indicator Data (national)'!$B$5:$H$14,6,FALSE))/(R$149-R$150)*10)))</f>
        <v>9.5239467647379001</v>
      </c>
      <c r="S50" s="4">
        <f>IF(VLOOKUP($B50,'Indicator Data (national)'!$B$5:$H$14,7,FALSE)="No data","x",IF(VLOOKUP($B50,'Indicator Data (national)'!$B$5:$H$14,7,FALSE)&gt;S$149,10,IF(VLOOKUP($B50,'Indicator Data (national)'!$B$5:$H$14,7,FALSE)&lt;S$150,0,10-(S$149-VLOOKUP($B50,'Indicator Data (national)'!$B$5:$H$14,7,FALSE))/(S$149-S$150)*10)))</f>
        <v>6.420295095728985</v>
      </c>
      <c r="T50" s="138">
        <f t="shared" si="8"/>
        <v>8.3825408014047689</v>
      </c>
      <c r="U50" s="6">
        <f>IF('Indicator Data'!G52=5,10,IF('Indicator Data'!G52=4,8,IF('Indicator Data'!G52=3,5,IF('Indicator Data'!G52=2,2,IF('Indicator Data'!G52=1,1,0)))))</f>
        <v>5</v>
      </c>
      <c r="V50" s="4">
        <f>IF('Indicator Data'!H52="No data","x",IF('Indicator Data'!H52&gt;1000,10,IF('Indicator Data'!H52&gt;=500,9,IF('Indicator Data'!H52&gt;=240,8,IF('Indicator Data'!H52&gt;=120,7,IF('Indicator Data'!H52&gt;=60,6,IF('Indicator Data'!H52&gt;=20,5,IF('Indicator Data'!H52&gt;=10,4,IF('Indicator Data'!H52&gt;=5,3,0)))))))))</f>
        <v>5</v>
      </c>
      <c r="W50" s="6">
        <f t="shared" si="9"/>
        <v>5</v>
      </c>
      <c r="X50" s="4">
        <f>IF('Indicator Data'!K52="No data","x",IF('Indicator Data'!K52&gt;X$149,0,IF('Indicator Data'!K52&lt;X$150,10,(X$149-'Indicator Data'!K52)/(X$149-X$150)*10)))</f>
        <v>3.7191999999999998</v>
      </c>
      <c r="Y50" s="6">
        <f t="shared" si="10"/>
        <v>4.3596000000000004</v>
      </c>
      <c r="Z50" s="7">
        <f t="shared" si="11"/>
        <v>4.5273360000000009</v>
      </c>
      <c r="AA50" s="139">
        <f t="shared" si="12"/>
        <v>6.6912704007023844</v>
      </c>
    </row>
    <row r="51" spans="1:27" s="11" customFormat="1" x14ac:dyDescent="0.25">
      <c r="A51" s="16" t="s">
        <v>418</v>
      </c>
      <c r="B51" s="11" t="s">
        <v>576</v>
      </c>
      <c r="C51" s="126" t="s">
        <v>643</v>
      </c>
      <c r="D51" s="4">
        <f>IF('Indicator Data'!D53="No data","x",IF('Indicator Data'!D53=0,0,IF(LOG('Indicator Data'!D53)&gt;D$149,10,IF(LOG('Indicator Data'!D53)&lt;D$150,0,10-(D$149-LOG('Indicator Data'!D53))/(D$149-D$150)*10))))</f>
        <v>5.6297573420634324</v>
      </c>
      <c r="E51" s="4">
        <f>IF('Indicator Data'!E53="No data","x",IF('Indicator Data'!E53=0,0,IF(LOG('Indicator Data'!E53)&gt;E$149,10,IF(LOG('Indicator Data'!E53)&lt;E$150,0,10-(E$149-LOG('Indicator Data'!E53))/(E$149-E$150)*10))))</f>
        <v>5.9378088947828616</v>
      </c>
      <c r="F51" s="4">
        <f>IF('Indicator Data'!F53="No data","x",IF('Indicator Data'!F53=0,0,IF(LOG('Indicator Data'!F53)&gt;F$149,10,IF(LOG('Indicator Data'!F53)&lt;F$150,0,10-(F$149-LOG('Indicator Data'!F53))/(F$149-F$150)*10))))</f>
        <v>6.8874356944303949</v>
      </c>
      <c r="G51" s="135">
        <f t="shared" si="16"/>
        <v>6.1752155946947447</v>
      </c>
      <c r="H51" s="54">
        <f>IF('Indicator Data'!D53="No data","x",'Indicator Data'!D53/'Indicator Data'!AN53)</f>
        <v>0.11092975156708629</v>
      </c>
      <c r="I51" s="54">
        <f>IF('Indicator Data'!E53="No data","x",'Indicator Data'!E53/'Indicator Data'!$AN53)</f>
        <v>4.6441179125177492E-2</v>
      </c>
      <c r="J51" s="54">
        <f>IF('Indicator Data'!F53="No data","x",'Indicator Data'!F53/'Indicator Data'!$AN53)</f>
        <v>0.172456400614758</v>
      </c>
      <c r="K51" s="4">
        <f t="shared" si="13"/>
        <v>5.5464875783543137</v>
      </c>
      <c r="L51" s="4">
        <f t="shared" si="14"/>
        <v>2.3220589562588732</v>
      </c>
      <c r="M51" s="4">
        <f t="shared" si="15"/>
        <v>8.6228200307379002</v>
      </c>
      <c r="N51" s="135">
        <f t="shared" si="17"/>
        <v>3.8972492248786299</v>
      </c>
      <c r="O51" s="6">
        <f t="shared" si="18"/>
        <v>5.5882793940833428</v>
      </c>
      <c r="P51" s="6">
        <f t="shared" si="19"/>
        <v>5.1439619978157323</v>
      </c>
      <c r="Q51" s="15">
        <f t="shared" si="7"/>
        <v>5.3704177398238206</v>
      </c>
      <c r="R51" s="4">
        <f>IF(VLOOKUP($B51,'Indicator Data (national)'!$B$5:$H$14,6,FALSE)="No data","x",IF(VLOOKUP($B51,'Indicator Data (national)'!$B$5:$H$14,6,FALSE)&gt;R$149,10,IF(VLOOKUP($B51,'Indicator Data (national)'!$B$5:$H$14,6,FALSE)&lt;R$150,0,10-(R$149-VLOOKUP($B51,'Indicator Data (national)'!$B$5:$H$14,6,FALSE))/(R$149-R$150)*10)))</f>
        <v>9.5239467647379001</v>
      </c>
      <c r="S51" s="4">
        <f>IF(VLOOKUP($B51,'Indicator Data (national)'!$B$5:$H$14,7,FALSE)="No data","x",IF(VLOOKUP($B51,'Indicator Data (national)'!$B$5:$H$14,7,FALSE)&gt;S$149,10,IF(VLOOKUP($B51,'Indicator Data (national)'!$B$5:$H$14,7,FALSE)&lt;S$150,0,10-(S$149-VLOOKUP($B51,'Indicator Data (national)'!$B$5:$H$14,7,FALSE))/(S$149-S$150)*10)))</f>
        <v>6.420295095728985</v>
      </c>
      <c r="T51" s="138">
        <f t="shared" si="8"/>
        <v>8.3825408014047689</v>
      </c>
      <c r="U51" s="6">
        <f>IF('Indicator Data'!G53=5,10,IF('Indicator Data'!G53=4,8,IF('Indicator Data'!G53=3,5,IF('Indicator Data'!G53=2,2,IF('Indicator Data'!G53=1,1,0)))))</f>
        <v>8</v>
      </c>
      <c r="V51" s="4">
        <f>IF('Indicator Data'!H53="No data","x",IF('Indicator Data'!H53&gt;1000,10,IF('Indicator Data'!H53&gt;=500,9,IF('Indicator Data'!H53&gt;=240,8,IF('Indicator Data'!H53&gt;=120,7,IF('Indicator Data'!H53&gt;=60,6,IF('Indicator Data'!H53&gt;=20,5,IF('Indicator Data'!H53&gt;=10,4,IF('Indicator Data'!H53&gt;=5,3,0)))))))))</f>
        <v>4</v>
      </c>
      <c r="W51" s="6">
        <f t="shared" si="9"/>
        <v>8</v>
      </c>
      <c r="X51" s="4">
        <f>IF('Indicator Data'!K53="No data","x",IF('Indicator Data'!K53&gt;X$149,0,IF('Indicator Data'!K53&lt;X$150,10,(X$149-'Indicator Data'!K53)/(X$149-X$150)*10)))</f>
        <v>3.8053999999999997</v>
      </c>
      <c r="Y51" s="6">
        <f t="shared" si="10"/>
        <v>5.9026999999999994</v>
      </c>
      <c r="Z51" s="7">
        <f t="shared" si="11"/>
        <v>6.5357819999999993</v>
      </c>
      <c r="AA51" s="139">
        <f t="shared" si="12"/>
        <v>8</v>
      </c>
    </row>
    <row r="52" spans="1:27" s="11" customFormat="1" x14ac:dyDescent="0.25">
      <c r="A52" s="16" t="s">
        <v>419</v>
      </c>
      <c r="B52" s="11" t="s">
        <v>576</v>
      </c>
      <c r="C52" s="126" t="s">
        <v>644</v>
      </c>
      <c r="D52" s="4">
        <f>IF('Indicator Data'!D54="No data","x",IF('Indicator Data'!D54=0,0,IF(LOG('Indicator Data'!D54)&gt;D$149,10,IF(LOG('Indicator Data'!D54)&lt;D$150,0,10-(D$149-LOG('Indicator Data'!D54))/(D$149-D$150)*10))))</f>
        <v>7.1644683916637941</v>
      </c>
      <c r="E52" s="4">
        <f>IF('Indicator Data'!E54="No data","x",IF('Indicator Data'!E54=0,0,IF(LOG('Indicator Data'!E54)&gt;E$149,10,IF(LOG('Indicator Data'!E54)&lt;E$150,0,10-(E$149-LOG('Indicator Data'!E54))/(E$149-E$150)*10))))</f>
        <v>0</v>
      </c>
      <c r="F52" s="4">
        <f>IF('Indicator Data'!F54="No data","x",IF('Indicator Data'!F54=0,0,IF(LOG('Indicator Data'!F54)&gt;F$149,10,IF(LOG('Indicator Data'!F54)&lt;F$150,0,10-(F$149-LOG('Indicator Data'!F54))/(F$149-F$150)*10))))</f>
        <v>7.1447188653233207</v>
      </c>
      <c r="G52" s="135">
        <f t="shared" si="16"/>
        <v>1.7861797163308302</v>
      </c>
      <c r="H52" s="54">
        <f>IF('Indicator Data'!D54="No data","x",'Indicator Data'!D54/'Indicator Data'!AN54)</f>
        <v>0.55736586873052418</v>
      </c>
      <c r="I52" s="54">
        <f>IF('Indicator Data'!E54="No data","x",'Indicator Data'!E54/'Indicator Data'!$AN54)</f>
        <v>0</v>
      </c>
      <c r="J52" s="54">
        <f>IF('Indicator Data'!F54="No data","x",'Indicator Data'!F54/'Indicator Data'!$AN54)</f>
        <v>0.1041942650010685</v>
      </c>
      <c r="K52" s="4">
        <f t="shared" si="13"/>
        <v>10</v>
      </c>
      <c r="L52" s="4">
        <f t="shared" si="14"/>
        <v>0</v>
      </c>
      <c r="M52" s="4">
        <f t="shared" si="15"/>
        <v>5.2097132500534249</v>
      </c>
      <c r="N52" s="135">
        <f t="shared" si="17"/>
        <v>1.3024283125133562</v>
      </c>
      <c r="O52" s="6">
        <f t="shared" si="18"/>
        <v>9.0170340883720517</v>
      </c>
      <c r="P52" s="6">
        <f t="shared" si="19"/>
        <v>1.5473621511014675</v>
      </c>
      <c r="Q52" s="15">
        <f t="shared" si="7"/>
        <v>6.6359321260423831</v>
      </c>
      <c r="R52" s="4">
        <f>IF(VLOOKUP($B52,'Indicator Data (national)'!$B$5:$H$14,6,FALSE)="No data","x",IF(VLOOKUP($B52,'Indicator Data (national)'!$B$5:$H$14,6,FALSE)&gt;R$149,10,IF(VLOOKUP($B52,'Indicator Data (national)'!$B$5:$H$14,6,FALSE)&lt;R$150,0,10-(R$149-VLOOKUP($B52,'Indicator Data (national)'!$B$5:$H$14,6,FALSE))/(R$149-R$150)*10)))</f>
        <v>9.5239467647379001</v>
      </c>
      <c r="S52" s="4">
        <f>IF(VLOOKUP($B52,'Indicator Data (national)'!$B$5:$H$14,7,FALSE)="No data","x",IF(VLOOKUP($B52,'Indicator Data (national)'!$B$5:$H$14,7,FALSE)&gt;S$149,10,IF(VLOOKUP($B52,'Indicator Data (national)'!$B$5:$H$14,7,FALSE)&lt;S$150,0,10-(S$149-VLOOKUP($B52,'Indicator Data (national)'!$B$5:$H$14,7,FALSE))/(S$149-S$150)*10)))</f>
        <v>6.420295095728985</v>
      </c>
      <c r="T52" s="138">
        <f t="shared" si="8"/>
        <v>8.3825408014047689</v>
      </c>
      <c r="U52" s="6">
        <f>IF('Indicator Data'!G54=5,10,IF('Indicator Data'!G54=4,8,IF('Indicator Data'!G54=3,5,IF('Indicator Data'!G54=2,2,IF('Indicator Data'!G54=1,1,0)))))</f>
        <v>0</v>
      </c>
      <c r="V52" s="4">
        <f>IF('Indicator Data'!H54="No data","x",IF('Indicator Data'!H54&gt;1000,10,IF('Indicator Data'!H54&gt;=500,9,IF('Indicator Data'!H54&gt;=240,8,IF('Indicator Data'!H54&gt;=120,7,IF('Indicator Data'!H54&gt;=60,6,IF('Indicator Data'!H54&gt;=20,5,IF('Indicator Data'!H54&gt;=10,4,IF('Indicator Data'!H54&gt;=5,3,0)))))))))</f>
        <v>3</v>
      </c>
      <c r="W52" s="6">
        <f t="shared" si="9"/>
        <v>3</v>
      </c>
      <c r="X52" s="4">
        <f>IF('Indicator Data'!K54="No data","x",IF('Indicator Data'!K54&gt;X$149,0,IF('Indicator Data'!K54&lt;X$150,10,(X$149-'Indicator Data'!K54)/(X$149-X$150)*10)))</f>
        <v>3.7350000000000003</v>
      </c>
      <c r="Y52" s="6">
        <f t="shared" si="10"/>
        <v>1.8675000000000002</v>
      </c>
      <c r="Z52" s="7">
        <f t="shared" si="11"/>
        <v>2.22255</v>
      </c>
      <c r="AA52" s="139">
        <f t="shared" si="12"/>
        <v>5.6912704007023844</v>
      </c>
    </row>
    <row r="53" spans="1:27" s="11" customFormat="1" x14ac:dyDescent="0.25">
      <c r="A53" s="16" t="s">
        <v>420</v>
      </c>
      <c r="B53" s="11" t="s">
        <v>576</v>
      </c>
      <c r="C53" s="126" t="s">
        <v>645</v>
      </c>
      <c r="D53" s="4">
        <f>IF('Indicator Data'!D55="No data","x",IF('Indicator Data'!D55=0,0,IF(LOG('Indicator Data'!D55)&gt;D$149,10,IF(LOG('Indicator Data'!D55)&lt;D$150,0,10-(D$149-LOG('Indicator Data'!D55))/(D$149-D$150)*10))))</f>
        <v>6.0429727035890055</v>
      </c>
      <c r="E53" s="4">
        <f>IF('Indicator Data'!E55="No data","x",IF('Indicator Data'!E55=0,0,IF(LOG('Indicator Data'!E55)&gt;E$149,10,IF(LOG('Indicator Data'!E55)&lt;E$150,0,10-(E$149-LOG('Indicator Data'!E55))/(E$149-E$150)*10))))</f>
        <v>0</v>
      </c>
      <c r="F53" s="4">
        <f>IF('Indicator Data'!F55="No data","x",IF('Indicator Data'!F55=0,0,IF(LOG('Indicator Data'!F55)&gt;F$149,10,IF(LOG('Indicator Data'!F55)&lt;F$150,0,10-(F$149-LOG('Indicator Data'!F55))/(F$149-F$150)*10))))</f>
        <v>6.3494905978615401</v>
      </c>
      <c r="G53" s="135">
        <f t="shared" si="16"/>
        <v>1.587372649465385</v>
      </c>
      <c r="H53" s="54">
        <f>IF('Indicator Data'!D55="No data","x",'Indicator Data'!D55/'Indicator Data'!AN55)</f>
        <v>0.24782892893827621</v>
      </c>
      <c r="I53" s="54">
        <f>IF('Indicator Data'!E55="No data","x",'Indicator Data'!E55/'Indicator Data'!$AN55)</f>
        <v>0</v>
      </c>
      <c r="J53" s="54">
        <f>IF('Indicator Data'!F55="No data","x",'Indicator Data'!F55/'Indicator Data'!$AN55)</f>
        <v>9.4138108133345777E-2</v>
      </c>
      <c r="K53" s="4">
        <f t="shared" si="13"/>
        <v>10</v>
      </c>
      <c r="L53" s="4">
        <f t="shared" si="14"/>
        <v>0</v>
      </c>
      <c r="M53" s="4">
        <f t="shared" si="15"/>
        <v>4.7069054066672891</v>
      </c>
      <c r="N53" s="135">
        <f t="shared" si="17"/>
        <v>1.1767263516668223</v>
      </c>
      <c r="O53" s="6">
        <f t="shared" si="18"/>
        <v>8.7380824772242818</v>
      </c>
      <c r="P53" s="6">
        <f t="shared" si="19"/>
        <v>1.3842163226235391</v>
      </c>
      <c r="Q53" s="15">
        <f t="shared" si="7"/>
        <v>6.3067173042000269</v>
      </c>
      <c r="R53" s="4">
        <f>IF(VLOOKUP($B53,'Indicator Data (national)'!$B$5:$H$14,6,FALSE)="No data","x",IF(VLOOKUP($B53,'Indicator Data (national)'!$B$5:$H$14,6,FALSE)&gt;R$149,10,IF(VLOOKUP($B53,'Indicator Data (national)'!$B$5:$H$14,6,FALSE)&lt;R$150,0,10-(R$149-VLOOKUP($B53,'Indicator Data (national)'!$B$5:$H$14,6,FALSE))/(R$149-R$150)*10)))</f>
        <v>9.5239467647379001</v>
      </c>
      <c r="S53" s="4">
        <f>IF(VLOOKUP($B53,'Indicator Data (national)'!$B$5:$H$14,7,FALSE)="No data","x",IF(VLOOKUP($B53,'Indicator Data (national)'!$B$5:$H$14,7,FALSE)&gt;S$149,10,IF(VLOOKUP($B53,'Indicator Data (national)'!$B$5:$H$14,7,FALSE)&lt;S$150,0,10-(S$149-VLOOKUP($B53,'Indicator Data (national)'!$B$5:$H$14,7,FALSE))/(S$149-S$150)*10)))</f>
        <v>6.420295095728985</v>
      </c>
      <c r="T53" s="138">
        <f t="shared" si="8"/>
        <v>8.3825408014047689</v>
      </c>
      <c r="U53" s="6">
        <f>IF('Indicator Data'!G55=5,10,IF('Indicator Data'!G55=4,8,IF('Indicator Data'!G55=3,5,IF('Indicator Data'!G55=2,2,IF('Indicator Data'!G55=1,1,0)))))</f>
        <v>8</v>
      </c>
      <c r="V53" s="4">
        <f>IF('Indicator Data'!H55="No data","x",IF('Indicator Data'!H55&gt;1000,10,IF('Indicator Data'!H55&gt;=500,9,IF('Indicator Data'!H55&gt;=240,8,IF('Indicator Data'!H55&gt;=120,7,IF('Indicator Data'!H55&gt;=60,6,IF('Indicator Data'!H55&gt;=20,5,IF('Indicator Data'!H55&gt;=10,4,IF('Indicator Data'!H55&gt;=5,3,0)))))))))</f>
        <v>0</v>
      </c>
      <c r="W53" s="6">
        <f t="shared" si="9"/>
        <v>8</v>
      </c>
      <c r="X53" s="4">
        <f>IF('Indicator Data'!K55="No data","x",IF('Indicator Data'!K55&gt;X$149,0,IF('Indicator Data'!K55&lt;X$150,10,(X$149-'Indicator Data'!K55)/(X$149-X$150)*10)))</f>
        <v>3.754</v>
      </c>
      <c r="Y53" s="6">
        <f t="shared" si="10"/>
        <v>5.8769999999999998</v>
      </c>
      <c r="Z53" s="7">
        <f t="shared" si="11"/>
        <v>6.5188199999999998</v>
      </c>
      <c r="AA53" s="139">
        <f t="shared" si="12"/>
        <v>8</v>
      </c>
    </row>
    <row r="54" spans="1:27" s="11" customFormat="1" x14ac:dyDescent="0.25">
      <c r="A54" s="16" t="s">
        <v>421</v>
      </c>
      <c r="B54" s="11" t="s">
        <v>576</v>
      </c>
      <c r="C54" s="126" t="s">
        <v>646</v>
      </c>
      <c r="D54" s="4">
        <f>IF('Indicator Data'!D56="No data","x",IF('Indicator Data'!D56=0,0,IF(LOG('Indicator Data'!D56)&gt;D$149,10,IF(LOG('Indicator Data'!D56)&lt;D$150,0,10-(D$149-LOG('Indicator Data'!D56))/(D$149-D$150)*10))))</f>
        <v>5.974237757418642</v>
      </c>
      <c r="E54" s="4">
        <f>IF('Indicator Data'!E56="No data","x",IF('Indicator Data'!E56=0,0,IF(LOG('Indicator Data'!E56)&gt;E$149,10,IF(LOG('Indicator Data'!E56)&lt;E$150,0,10-(E$149-LOG('Indicator Data'!E56))/(E$149-E$150)*10))))</f>
        <v>0</v>
      </c>
      <c r="F54" s="4">
        <f>IF('Indicator Data'!F56="No data","x",IF('Indicator Data'!F56=0,0,IF(LOG('Indicator Data'!F56)&gt;F$149,10,IF(LOG('Indicator Data'!F56)&lt;F$150,0,10-(F$149-LOG('Indicator Data'!F56))/(F$149-F$150)*10))))</f>
        <v>4.6555022560218582</v>
      </c>
      <c r="G54" s="135">
        <f t="shared" si="16"/>
        <v>1.1638755640054645</v>
      </c>
      <c r="H54" s="54">
        <f>IF('Indicator Data'!D56="No data","x",'Indicator Data'!D56/'Indicator Data'!AN56)</f>
        <v>8.4765152642837668E-2</v>
      </c>
      <c r="I54" s="54">
        <f>IF('Indicator Data'!E56="No data","x",'Indicator Data'!E56/'Indicator Data'!$AN56)</f>
        <v>0</v>
      </c>
      <c r="J54" s="54">
        <f>IF('Indicator Data'!F56="No data","x",'Indicator Data'!F56/'Indicator Data'!$AN56)</f>
        <v>3.4637957246959773E-3</v>
      </c>
      <c r="K54" s="4">
        <f t="shared" si="13"/>
        <v>4.2382576321418828</v>
      </c>
      <c r="L54" s="4">
        <f t="shared" si="14"/>
        <v>0</v>
      </c>
      <c r="M54" s="4">
        <f t="shared" si="15"/>
        <v>0.17318978623480064</v>
      </c>
      <c r="N54" s="135">
        <f t="shared" si="17"/>
        <v>4.3297446558700159E-2</v>
      </c>
      <c r="O54" s="6">
        <f t="shared" si="18"/>
        <v>5.1693118970725207</v>
      </c>
      <c r="P54" s="6">
        <f t="shared" si="19"/>
        <v>0.61853518749838998</v>
      </c>
      <c r="Q54" s="15">
        <f t="shared" si="7"/>
        <v>3.2152400777062273</v>
      </c>
      <c r="R54" s="4">
        <f>IF(VLOOKUP($B54,'Indicator Data (national)'!$B$5:$H$14,6,FALSE)="No data","x",IF(VLOOKUP($B54,'Indicator Data (national)'!$B$5:$H$14,6,FALSE)&gt;R$149,10,IF(VLOOKUP($B54,'Indicator Data (national)'!$B$5:$H$14,6,FALSE)&lt;R$150,0,10-(R$149-VLOOKUP($B54,'Indicator Data (national)'!$B$5:$H$14,6,FALSE))/(R$149-R$150)*10)))</f>
        <v>9.5239467647379001</v>
      </c>
      <c r="S54" s="4">
        <f>IF(VLOOKUP($B54,'Indicator Data (national)'!$B$5:$H$14,7,FALSE)="No data","x",IF(VLOOKUP($B54,'Indicator Data (national)'!$B$5:$H$14,7,FALSE)&gt;S$149,10,IF(VLOOKUP($B54,'Indicator Data (national)'!$B$5:$H$14,7,FALSE)&lt;S$150,0,10-(S$149-VLOOKUP($B54,'Indicator Data (national)'!$B$5:$H$14,7,FALSE))/(S$149-S$150)*10)))</f>
        <v>6.420295095728985</v>
      </c>
      <c r="T54" s="138">
        <f t="shared" si="8"/>
        <v>8.3825408014047689</v>
      </c>
      <c r="U54" s="6">
        <f>IF('Indicator Data'!G56=5,10,IF('Indicator Data'!G56=4,8,IF('Indicator Data'!G56=3,5,IF('Indicator Data'!G56=2,2,IF('Indicator Data'!G56=1,1,0)))))</f>
        <v>5</v>
      </c>
      <c r="V54" s="4">
        <f>IF('Indicator Data'!H56="No data","x",IF('Indicator Data'!H56&gt;1000,10,IF('Indicator Data'!H56&gt;=500,9,IF('Indicator Data'!H56&gt;=240,8,IF('Indicator Data'!H56&gt;=120,7,IF('Indicator Data'!H56&gt;=60,6,IF('Indicator Data'!H56&gt;=20,5,IF('Indicator Data'!H56&gt;=10,4,IF('Indicator Data'!H56&gt;=5,3,0)))))))))</f>
        <v>4</v>
      </c>
      <c r="W54" s="6">
        <f t="shared" si="9"/>
        <v>5</v>
      </c>
      <c r="X54" s="4">
        <f>IF('Indicator Data'!K56="No data","x",IF('Indicator Data'!K56&gt;X$149,0,IF('Indicator Data'!K56&lt;X$150,10,(X$149-'Indicator Data'!K56)/(X$149-X$150)*10)))</f>
        <v>3.8592</v>
      </c>
      <c r="Y54" s="6">
        <f t="shared" si="10"/>
        <v>4.4295999999999998</v>
      </c>
      <c r="Z54" s="7">
        <f t="shared" si="11"/>
        <v>4.5735359999999998</v>
      </c>
      <c r="AA54" s="139">
        <f t="shared" si="12"/>
        <v>6.6912704007023844</v>
      </c>
    </row>
    <row r="55" spans="1:27" s="11" customFormat="1" x14ac:dyDescent="0.25">
      <c r="A55" s="16" t="s">
        <v>422</v>
      </c>
      <c r="B55" s="11" t="s">
        <v>576</v>
      </c>
      <c r="C55" s="126" t="s">
        <v>647</v>
      </c>
      <c r="D55" s="4">
        <f>IF('Indicator Data'!D57="No data","x",IF('Indicator Data'!D57=0,0,IF(LOG('Indicator Data'!D57)&gt;D$149,10,IF(LOG('Indicator Data'!D57)&lt;D$150,0,10-(D$149-LOG('Indicator Data'!D57))/(D$149-D$150)*10))))</f>
        <v>6.4729516302640802</v>
      </c>
      <c r="E55" s="4">
        <f>IF('Indicator Data'!E57="No data","x",IF('Indicator Data'!E57=0,0,IF(LOG('Indicator Data'!E57)&gt;E$149,10,IF(LOG('Indicator Data'!E57)&lt;E$150,0,10-(E$149-LOG('Indicator Data'!E57))/(E$149-E$150)*10))))</f>
        <v>7.941980923926697</v>
      </c>
      <c r="F55" s="4">
        <f>IF('Indicator Data'!F57="No data","x",IF('Indicator Data'!F57=0,0,IF(LOG('Indicator Data'!F57)&gt;F$149,10,IF(LOG('Indicator Data'!F57)&lt;F$150,0,10-(F$149-LOG('Indicator Data'!F57))/(F$149-F$150)*10))))</f>
        <v>0</v>
      </c>
      <c r="G55" s="135">
        <f t="shared" si="16"/>
        <v>5.9564856929450229</v>
      </c>
      <c r="H55" s="54">
        <f>IF('Indicator Data'!D57="No data","x",'Indicator Data'!D57/'Indicator Data'!AN57)</f>
        <v>0.27616981731881685</v>
      </c>
      <c r="I55" s="54">
        <f>IF('Indicator Data'!E57="No data","x",'Indicator Data'!E57/'Indicator Data'!$AN57)</f>
        <v>0.47347671503963146</v>
      </c>
      <c r="J55" s="54">
        <f>IF('Indicator Data'!F57="No data","x",'Indicator Data'!F57/'Indicator Data'!$AN57)</f>
        <v>0</v>
      </c>
      <c r="K55" s="4">
        <f t="shared" si="13"/>
        <v>10</v>
      </c>
      <c r="L55" s="4">
        <f t="shared" si="14"/>
        <v>10</v>
      </c>
      <c r="M55" s="4">
        <f t="shared" si="15"/>
        <v>0</v>
      </c>
      <c r="N55" s="135">
        <f t="shared" si="17"/>
        <v>7.5</v>
      </c>
      <c r="O55" s="6">
        <f t="shared" si="18"/>
        <v>8.8409766361791799</v>
      </c>
      <c r="P55" s="6">
        <f t="shared" si="19"/>
        <v>6.7967252775126239</v>
      </c>
      <c r="Q55" s="15">
        <f t="shared" si="7"/>
        <v>7.9815366961131451</v>
      </c>
      <c r="R55" s="4">
        <f>IF(VLOOKUP($B55,'Indicator Data (national)'!$B$5:$H$14,6,FALSE)="No data","x",IF(VLOOKUP($B55,'Indicator Data (national)'!$B$5:$H$14,6,FALSE)&gt;R$149,10,IF(VLOOKUP($B55,'Indicator Data (national)'!$B$5:$H$14,6,FALSE)&lt;R$150,0,10-(R$149-VLOOKUP($B55,'Indicator Data (national)'!$B$5:$H$14,6,FALSE))/(R$149-R$150)*10)))</f>
        <v>9.5239467647379001</v>
      </c>
      <c r="S55" s="4">
        <f>IF(VLOOKUP($B55,'Indicator Data (national)'!$B$5:$H$14,7,FALSE)="No data","x",IF(VLOOKUP($B55,'Indicator Data (national)'!$B$5:$H$14,7,FALSE)&gt;S$149,10,IF(VLOOKUP($B55,'Indicator Data (national)'!$B$5:$H$14,7,FALSE)&lt;S$150,0,10-(S$149-VLOOKUP($B55,'Indicator Data (national)'!$B$5:$H$14,7,FALSE))/(S$149-S$150)*10)))</f>
        <v>6.420295095728985</v>
      </c>
      <c r="T55" s="138">
        <f t="shared" si="8"/>
        <v>8.3825408014047689</v>
      </c>
      <c r="U55" s="6">
        <f>IF('Indicator Data'!G57=5,10,IF('Indicator Data'!G57=4,8,IF('Indicator Data'!G57=3,5,IF('Indicator Data'!G57=2,2,IF('Indicator Data'!G57=1,1,0)))))</f>
        <v>8</v>
      </c>
      <c r="V55" s="4">
        <f>IF('Indicator Data'!H57="No data","x",IF('Indicator Data'!H57&gt;1000,10,IF('Indicator Data'!H57&gt;=500,9,IF('Indicator Data'!H57&gt;=240,8,IF('Indicator Data'!H57&gt;=120,7,IF('Indicator Data'!H57&gt;=60,6,IF('Indicator Data'!H57&gt;=20,5,IF('Indicator Data'!H57&gt;=10,4,IF('Indicator Data'!H57&gt;=5,3,0)))))))))</f>
        <v>5</v>
      </c>
      <c r="W55" s="6">
        <f t="shared" si="9"/>
        <v>8</v>
      </c>
      <c r="X55" s="4">
        <f>IF('Indicator Data'!K57="No data","x",IF('Indicator Data'!K57&gt;X$149,0,IF('Indicator Data'!K57&lt;X$150,10,(X$149-'Indicator Data'!K57)/(X$149-X$150)*10)))</f>
        <v>3.6677999999999997</v>
      </c>
      <c r="Y55" s="6">
        <f t="shared" si="10"/>
        <v>5.8338999999999999</v>
      </c>
      <c r="Z55" s="7">
        <f t="shared" si="11"/>
        <v>6.4903740000000001</v>
      </c>
      <c r="AA55" s="139">
        <f t="shared" si="12"/>
        <v>8</v>
      </c>
    </row>
    <row r="56" spans="1:27" s="11" customFormat="1" x14ac:dyDescent="0.25">
      <c r="A56" s="16" t="s">
        <v>423</v>
      </c>
      <c r="B56" s="11" t="s">
        <v>576</v>
      </c>
      <c r="C56" s="126" t="s">
        <v>648</v>
      </c>
      <c r="D56" s="4">
        <f>IF('Indicator Data'!D58="No data","x",IF('Indicator Data'!D58=0,0,IF(LOG('Indicator Data'!D58)&gt;D$149,10,IF(LOG('Indicator Data'!D58)&lt;D$150,0,10-(D$149-LOG('Indicator Data'!D58))/(D$149-D$150)*10))))</f>
        <v>5.7385414987076198</v>
      </c>
      <c r="E56" s="4">
        <f>IF('Indicator Data'!E58="No data","x",IF('Indicator Data'!E58=0,0,IF(LOG('Indicator Data'!E58)&gt;E$149,10,IF(LOG('Indicator Data'!E58)&lt;E$150,0,10-(E$149-LOG('Indicator Data'!E58))/(E$149-E$150)*10))))</f>
        <v>5.4921719077285864</v>
      </c>
      <c r="F56" s="4">
        <f>IF('Indicator Data'!F58="No data","x",IF('Indicator Data'!F58=0,0,IF(LOG('Indicator Data'!F58)&gt;F$149,10,IF(LOG('Indicator Data'!F58)&lt;F$150,0,10-(F$149-LOG('Indicator Data'!F58))/(F$149-F$150)*10))))</f>
        <v>0</v>
      </c>
      <c r="G56" s="135">
        <f t="shared" si="16"/>
        <v>4.1191289307964398</v>
      </c>
      <c r="H56" s="54">
        <f>IF('Indicator Data'!D58="No data","x",'Indicator Data'!D58/'Indicator Data'!AN58)</f>
        <v>0.1761718161010675</v>
      </c>
      <c r="I56" s="54">
        <f>IF('Indicator Data'!E58="No data","x",'Indicator Data'!E58/'Indicator Data'!$AN58)</f>
        <v>3.3439557888994491E-2</v>
      </c>
      <c r="J56" s="54">
        <f>IF('Indicator Data'!F58="No data","x",'Indicator Data'!F58/'Indicator Data'!$AN58)</f>
        <v>0</v>
      </c>
      <c r="K56" s="4">
        <f t="shared" si="13"/>
        <v>8.8085908050533739</v>
      </c>
      <c r="L56" s="4">
        <f t="shared" si="14"/>
        <v>1.671977894449725</v>
      </c>
      <c r="M56" s="4">
        <f t="shared" si="15"/>
        <v>0</v>
      </c>
      <c r="N56" s="135">
        <f t="shared" si="17"/>
        <v>1.2539834208372937</v>
      </c>
      <c r="O56" s="6">
        <f t="shared" si="18"/>
        <v>7.5939459702245218</v>
      </c>
      <c r="P56" s="6">
        <f t="shared" si="19"/>
        <v>2.8092522132810083</v>
      </c>
      <c r="Q56" s="15">
        <f t="shared" si="7"/>
        <v>5.707500399743461</v>
      </c>
      <c r="R56" s="4">
        <f>IF(VLOOKUP($B56,'Indicator Data (national)'!$B$5:$H$14,6,FALSE)="No data","x",IF(VLOOKUP($B56,'Indicator Data (national)'!$B$5:$H$14,6,FALSE)&gt;R$149,10,IF(VLOOKUP($B56,'Indicator Data (national)'!$B$5:$H$14,6,FALSE)&lt;R$150,0,10-(R$149-VLOOKUP($B56,'Indicator Data (national)'!$B$5:$H$14,6,FALSE))/(R$149-R$150)*10)))</f>
        <v>9.5239467647379001</v>
      </c>
      <c r="S56" s="4">
        <f>IF(VLOOKUP($B56,'Indicator Data (national)'!$B$5:$H$14,7,FALSE)="No data","x",IF(VLOOKUP($B56,'Indicator Data (national)'!$B$5:$H$14,7,FALSE)&gt;S$149,10,IF(VLOOKUP($B56,'Indicator Data (national)'!$B$5:$H$14,7,FALSE)&lt;S$150,0,10-(S$149-VLOOKUP($B56,'Indicator Data (national)'!$B$5:$H$14,7,FALSE))/(S$149-S$150)*10)))</f>
        <v>6.420295095728985</v>
      </c>
      <c r="T56" s="138">
        <f t="shared" si="8"/>
        <v>8.3825408014047689</v>
      </c>
      <c r="U56" s="6">
        <f>IF('Indicator Data'!G58=5,10,IF('Indicator Data'!G58=4,8,IF('Indicator Data'!G58=3,5,IF('Indicator Data'!G58=2,2,IF('Indicator Data'!G58=1,1,0)))))</f>
        <v>5</v>
      </c>
      <c r="V56" s="4">
        <f>IF('Indicator Data'!H58="No data","x",IF('Indicator Data'!H58&gt;1000,10,IF('Indicator Data'!H58&gt;=500,9,IF('Indicator Data'!H58&gt;=240,8,IF('Indicator Data'!H58&gt;=120,7,IF('Indicator Data'!H58&gt;=60,6,IF('Indicator Data'!H58&gt;=20,5,IF('Indicator Data'!H58&gt;=10,4,IF('Indicator Data'!H58&gt;=5,3,0)))))))))</f>
        <v>0</v>
      </c>
      <c r="W56" s="6">
        <f t="shared" si="9"/>
        <v>5</v>
      </c>
      <c r="X56" s="4">
        <f>IF('Indicator Data'!K58="No data","x",IF('Indicator Data'!K58&gt;X$149,0,IF('Indicator Data'!K58&lt;X$150,10,(X$149-'Indicator Data'!K58)/(X$149-X$150)*10)))</f>
        <v>3.8517999999999999</v>
      </c>
      <c r="Y56" s="6">
        <f t="shared" si="10"/>
        <v>4.4259000000000004</v>
      </c>
      <c r="Z56" s="7">
        <f t="shared" si="11"/>
        <v>4.5710940000000004</v>
      </c>
      <c r="AA56" s="139">
        <f t="shared" si="12"/>
        <v>6.6912704007023844</v>
      </c>
    </row>
    <row r="57" spans="1:27" s="11" customFormat="1" x14ac:dyDescent="0.25">
      <c r="A57" s="16" t="s">
        <v>424</v>
      </c>
      <c r="B57" s="11" t="s">
        <v>576</v>
      </c>
      <c r="C57" s="126" t="s">
        <v>649</v>
      </c>
      <c r="D57" s="4">
        <f>IF('Indicator Data'!D59="No data","x",IF('Indicator Data'!D59=0,0,IF(LOG('Indicator Data'!D59)&gt;D$149,10,IF(LOG('Indicator Data'!D59)&lt;D$150,0,10-(D$149-LOG('Indicator Data'!D59))/(D$149-D$150)*10))))</f>
        <v>6.1387633225284874</v>
      </c>
      <c r="E57" s="4">
        <f>IF('Indicator Data'!E59="No data","x",IF('Indicator Data'!E59=0,0,IF(LOG('Indicator Data'!E59)&gt;E$149,10,IF(LOG('Indicator Data'!E59)&lt;E$150,0,10-(E$149-LOG('Indicator Data'!E59))/(E$149-E$150)*10))))</f>
        <v>0</v>
      </c>
      <c r="F57" s="4">
        <f>IF('Indicator Data'!F59="No data","x",IF('Indicator Data'!F59=0,0,IF(LOG('Indicator Data'!F59)&gt;F$149,10,IF(LOG('Indicator Data'!F59)&lt;F$150,0,10-(F$149-LOG('Indicator Data'!F59))/(F$149-F$150)*10))))</f>
        <v>7.8652164005811454</v>
      </c>
      <c r="G57" s="135">
        <f t="shared" si="16"/>
        <v>1.9663041001452863</v>
      </c>
      <c r="H57" s="54">
        <f>IF('Indicator Data'!D59="No data","x",'Indicator Data'!D59/'Indicator Data'!AN59)</f>
        <v>0.15223470444974727</v>
      </c>
      <c r="I57" s="54">
        <f>IF('Indicator Data'!E59="No data","x",'Indicator Data'!E59/'Indicator Data'!$AN59)</f>
        <v>0</v>
      </c>
      <c r="J57" s="54">
        <f>IF('Indicator Data'!F59="No data","x",'Indicator Data'!F59/'Indicator Data'!$AN59)</f>
        <v>0.40226216159547906</v>
      </c>
      <c r="K57" s="4">
        <f t="shared" si="13"/>
        <v>7.6117352224873631</v>
      </c>
      <c r="L57" s="4">
        <f t="shared" si="14"/>
        <v>0</v>
      </c>
      <c r="M57" s="4">
        <f t="shared" si="15"/>
        <v>10</v>
      </c>
      <c r="N57" s="135">
        <f t="shared" si="17"/>
        <v>2.5</v>
      </c>
      <c r="O57" s="6">
        <f t="shared" si="18"/>
        <v>6.939766728155222</v>
      </c>
      <c r="P57" s="6">
        <f t="shared" si="19"/>
        <v>2.2371633277908485</v>
      </c>
      <c r="Q57" s="15">
        <f t="shared" si="7"/>
        <v>5.0270095142772089</v>
      </c>
      <c r="R57" s="4">
        <f>IF(VLOOKUP($B57,'Indicator Data (national)'!$B$5:$H$14,6,FALSE)="No data","x",IF(VLOOKUP($B57,'Indicator Data (national)'!$B$5:$H$14,6,FALSE)&gt;R$149,10,IF(VLOOKUP($B57,'Indicator Data (national)'!$B$5:$H$14,6,FALSE)&lt;R$150,0,10-(R$149-VLOOKUP($B57,'Indicator Data (national)'!$B$5:$H$14,6,FALSE))/(R$149-R$150)*10)))</f>
        <v>9.5239467647379001</v>
      </c>
      <c r="S57" s="4">
        <f>IF(VLOOKUP($B57,'Indicator Data (national)'!$B$5:$H$14,7,FALSE)="No data","x",IF(VLOOKUP($B57,'Indicator Data (national)'!$B$5:$H$14,7,FALSE)&gt;S$149,10,IF(VLOOKUP($B57,'Indicator Data (national)'!$B$5:$H$14,7,FALSE)&lt;S$150,0,10-(S$149-VLOOKUP($B57,'Indicator Data (national)'!$B$5:$H$14,7,FALSE))/(S$149-S$150)*10)))</f>
        <v>6.420295095728985</v>
      </c>
      <c r="T57" s="138">
        <f t="shared" si="8"/>
        <v>8.3825408014047689</v>
      </c>
      <c r="U57" s="6">
        <f>IF('Indicator Data'!G59=5,10,IF('Indicator Data'!G59=4,8,IF('Indicator Data'!G59=3,5,IF('Indicator Data'!G59=2,2,IF('Indicator Data'!G59=1,1,0)))))</f>
        <v>0</v>
      </c>
      <c r="V57" s="4">
        <f>IF('Indicator Data'!H59="No data","x",IF('Indicator Data'!H59&gt;1000,10,IF('Indicator Data'!H59&gt;=500,9,IF('Indicator Data'!H59&gt;=240,8,IF('Indicator Data'!H59&gt;=120,7,IF('Indicator Data'!H59&gt;=60,6,IF('Indicator Data'!H59&gt;=20,5,IF('Indicator Data'!H59&gt;=10,4,IF('Indicator Data'!H59&gt;=5,3,0)))))))))</f>
        <v>0</v>
      </c>
      <c r="W57" s="6">
        <f t="shared" si="9"/>
        <v>0</v>
      </c>
      <c r="X57" s="4">
        <f>IF('Indicator Data'!K59="No data","x",IF('Indicator Data'!K59&gt;X$149,0,IF('Indicator Data'!K59&lt;X$150,10,(X$149-'Indicator Data'!K59)/(X$149-X$150)*10)))</f>
        <v>3.7418</v>
      </c>
      <c r="Y57" s="6">
        <f t="shared" si="10"/>
        <v>1.8709</v>
      </c>
      <c r="Z57" s="7">
        <f t="shared" si="11"/>
        <v>1.2347940000000002</v>
      </c>
      <c r="AA57" s="139">
        <f t="shared" si="12"/>
        <v>4.1912704007023844</v>
      </c>
    </row>
    <row r="58" spans="1:27" s="11" customFormat="1" x14ac:dyDescent="0.25">
      <c r="A58" s="16" t="s">
        <v>425</v>
      </c>
      <c r="B58" s="11" t="s">
        <v>576</v>
      </c>
      <c r="C58" s="126" t="s">
        <v>650</v>
      </c>
      <c r="D58" s="4">
        <f>IF('Indicator Data'!D60="No data","x",IF('Indicator Data'!D60=0,0,IF(LOG('Indicator Data'!D60)&gt;D$149,10,IF(LOG('Indicator Data'!D60)&lt;D$150,0,10-(D$149-LOG('Indicator Data'!D60))/(D$149-D$150)*10))))</f>
        <v>6.9838884038978337</v>
      </c>
      <c r="E58" s="4">
        <f>IF('Indicator Data'!E60="No data","x",IF('Indicator Data'!E60=0,0,IF(LOG('Indicator Data'!E60)&gt;E$149,10,IF(LOG('Indicator Data'!E60)&lt;E$150,0,10-(E$149-LOG('Indicator Data'!E60))/(E$149-E$150)*10))))</f>
        <v>0</v>
      </c>
      <c r="F58" s="4">
        <f>IF('Indicator Data'!F60="No data","x",IF('Indicator Data'!F60=0,0,IF(LOG('Indicator Data'!F60)&gt;F$149,10,IF(LOG('Indicator Data'!F60)&lt;F$150,0,10-(F$149-LOG('Indicator Data'!F60))/(F$149-F$150)*10))))</f>
        <v>8.1061942021753097</v>
      </c>
      <c r="G58" s="135">
        <f t="shared" si="16"/>
        <v>2.0265485505438274</v>
      </c>
      <c r="H58" s="54">
        <f>IF('Indicator Data'!D60="No data","x",'Indicator Data'!D60/'Indicator Data'!AN60)</f>
        <v>0.69047266446728672</v>
      </c>
      <c r="I58" s="54">
        <f>IF('Indicator Data'!E60="No data","x",'Indicator Data'!E60/'Indicator Data'!$AN60)</f>
        <v>0</v>
      </c>
      <c r="J58" s="54">
        <f>IF('Indicator Data'!F60="No data","x",'Indicator Data'!F60/'Indicator Data'!$AN60)</f>
        <v>0.65184018156481893</v>
      </c>
      <c r="K58" s="4">
        <f t="shared" si="13"/>
        <v>10</v>
      </c>
      <c r="L58" s="4">
        <f t="shared" si="14"/>
        <v>0</v>
      </c>
      <c r="M58" s="4">
        <f t="shared" si="15"/>
        <v>10</v>
      </c>
      <c r="N58" s="135">
        <f t="shared" si="17"/>
        <v>2.5</v>
      </c>
      <c r="O58" s="6">
        <f t="shared" si="18"/>
        <v>8.9696623006057692</v>
      </c>
      <c r="P58" s="6">
        <f t="shared" si="19"/>
        <v>2.2664416653440771</v>
      </c>
      <c r="Q58" s="15">
        <f t="shared" si="7"/>
        <v>6.7590533376031869</v>
      </c>
      <c r="R58" s="4">
        <f>IF(VLOOKUP($B58,'Indicator Data (national)'!$B$5:$H$14,6,FALSE)="No data","x",IF(VLOOKUP($B58,'Indicator Data (national)'!$B$5:$H$14,6,FALSE)&gt;R$149,10,IF(VLOOKUP($B58,'Indicator Data (national)'!$B$5:$H$14,6,FALSE)&lt;R$150,0,10-(R$149-VLOOKUP($B58,'Indicator Data (national)'!$B$5:$H$14,6,FALSE))/(R$149-R$150)*10)))</f>
        <v>9.5239467647379001</v>
      </c>
      <c r="S58" s="4">
        <f>IF(VLOOKUP($B58,'Indicator Data (national)'!$B$5:$H$14,7,FALSE)="No data","x",IF(VLOOKUP($B58,'Indicator Data (national)'!$B$5:$H$14,7,FALSE)&gt;S$149,10,IF(VLOOKUP($B58,'Indicator Data (national)'!$B$5:$H$14,7,FALSE)&lt;S$150,0,10-(S$149-VLOOKUP($B58,'Indicator Data (national)'!$B$5:$H$14,7,FALSE))/(S$149-S$150)*10)))</f>
        <v>6.420295095728985</v>
      </c>
      <c r="T58" s="138">
        <f t="shared" si="8"/>
        <v>8.3825408014047689</v>
      </c>
      <c r="U58" s="6">
        <f>IF('Indicator Data'!G60=5,10,IF('Indicator Data'!G60=4,8,IF('Indicator Data'!G60=3,5,IF('Indicator Data'!G60=2,2,IF('Indicator Data'!G60=1,1,0)))))</f>
        <v>0</v>
      </c>
      <c r="V58" s="4">
        <f>IF('Indicator Data'!H60="No data","x",IF('Indicator Data'!H60&gt;1000,10,IF('Indicator Data'!H60&gt;=500,9,IF('Indicator Data'!H60&gt;=240,8,IF('Indicator Data'!H60&gt;=120,7,IF('Indicator Data'!H60&gt;=60,6,IF('Indicator Data'!H60&gt;=20,5,IF('Indicator Data'!H60&gt;=10,4,IF('Indicator Data'!H60&gt;=5,3,0)))))))))</f>
        <v>5</v>
      </c>
      <c r="W58" s="6">
        <f t="shared" si="9"/>
        <v>5</v>
      </c>
      <c r="X58" s="4">
        <f>IF('Indicator Data'!K60="No data","x",IF('Indicator Data'!K60&gt;X$149,0,IF('Indicator Data'!K60&lt;X$150,10,(X$149-'Indicator Data'!K60)/(X$149-X$150)*10)))</f>
        <v>3.7332000000000001</v>
      </c>
      <c r="Y58" s="6">
        <f t="shared" si="10"/>
        <v>1.8666</v>
      </c>
      <c r="Z58" s="7">
        <f t="shared" si="11"/>
        <v>2.8819560000000002</v>
      </c>
      <c r="AA58" s="139">
        <f t="shared" si="12"/>
        <v>6.6912704007023844</v>
      </c>
    </row>
    <row r="59" spans="1:27" s="11" customFormat="1" x14ac:dyDescent="0.25">
      <c r="A59" s="16" t="s">
        <v>426</v>
      </c>
      <c r="B59" s="11" t="s">
        <v>576</v>
      </c>
      <c r="C59" s="126" t="s">
        <v>651</v>
      </c>
      <c r="D59" s="4">
        <f>IF('Indicator Data'!D61="No data","x",IF('Indicator Data'!D61=0,0,IF(LOG('Indicator Data'!D61)&gt;D$149,10,IF(LOG('Indicator Data'!D61)&lt;D$150,0,10-(D$149-LOG('Indicator Data'!D61))/(D$149-D$150)*10))))</f>
        <v>5.9595423692296885</v>
      </c>
      <c r="E59" s="4">
        <f>IF('Indicator Data'!E61="No data","x",IF('Indicator Data'!E61=0,0,IF(LOG('Indicator Data'!E61)&gt;E$149,10,IF(LOG('Indicator Data'!E61)&lt;E$150,0,10-(E$149-LOG('Indicator Data'!E61))/(E$149-E$150)*10))))</f>
        <v>8.3584814428284488</v>
      </c>
      <c r="F59" s="4">
        <f>IF('Indicator Data'!F61="No data","x",IF('Indicator Data'!F61=0,0,IF(LOG('Indicator Data'!F61)&gt;F$149,10,IF(LOG('Indicator Data'!F61)&lt;F$150,0,10-(F$149-LOG('Indicator Data'!F61))/(F$149-F$150)*10))))</f>
        <v>0</v>
      </c>
      <c r="G59" s="135">
        <f t="shared" si="16"/>
        <v>6.2688610821213366</v>
      </c>
      <c r="H59" s="54">
        <f>IF('Indicator Data'!D61="No data","x",'Indicator Data'!D61/'Indicator Data'!AN61)</f>
        <v>0.12889135414740682</v>
      </c>
      <c r="I59" s="54">
        <f>IF('Indicator Data'!E61="No data","x",'Indicator Data'!E61/'Indicator Data'!$AN61)</f>
        <v>0.89873777027783641</v>
      </c>
      <c r="J59" s="54">
        <f>IF('Indicator Data'!F61="No data","x",'Indicator Data'!F61/'Indicator Data'!$AN61)</f>
        <v>0</v>
      </c>
      <c r="K59" s="4">
        <f t="shared" si="13"/>
        <v>6.4445677073703411</v>
      </c>
      <c r="L59" s="4">
        <f t="shared" si="14"/>
        <v>10</v>
      </c>
      <c r="M59" s="4">
        <f t="shared" si="15"/>
        <v>0</v>
      </c>
      <c r="N59" s="135">
        <f t="shared" si="17"/>
        <v>7.5</v>
      </c>
      <c r="O59" s="6">
        <f t="shared" si="18"/>
        <v>6.2080488912995069</v>
      </c>
      <c r="P59" s="6">
        <f t="shared" si="19"/>
        <v>6.9294962457196219</v>
      </c>
      <c r="Q59" s="15">
        <f t="shared" si="7"/>
        <v>6.5831184140870089</v>
      </c>
      <c r="R59" s="4">
        <f>IF(VLOOKUP($B59,'Indicator Data (national)'!$B$5:$H$14,6,FALSE)="No data","x",IF(VLOOKUP($B59,'Indicator Data (national)'!$B$5:$H$14,6,FALSE)&gt;R$149,10,IF(VLOOKUP($B59,'Indicator Data (national)'!$B$5:$H$14,6,FALSE)&lt;R$150,0,10-(R$149-VLOOKUP($B59,'Indicator Data (national)'!$B$5:$H$14,6,FALSE))/(R$149-R$150)*10)))</f>
        <v>9.5239467647379001</v>
      </c>
      <c r="S59" s="4">
        <f>IF(VLOOKUP($B59,'Indicator Data (national)'!$B$5:$H$14,7,FALSE)="No data","x",IF(VLOOKUP($B59,'Indicator Data (national)'!$B$5:$H$14,7,FALSE)&gt;S$149,10,IF(VLOOKUP($B59,'Indicator Data (national)'!$B$5:$H$14,7,FALSE)&lt;S$150,0,10-(S$149-VLOOKUP($B59,'Indicator Data (national)'!$B$5:$H$14,7,FALSE))/(S$149-S$150)*10)))</f>
        <v>6.420295095728985</v>
      </c>
      <c r="T59" s="138">
        <f t="shared" si="8"/>
        <v>8.3825408014047689</v>
      </c>
      <c r="U59" s="6">
        <f>IF('Indicator Data'!G61=5,10,IF('Indicator Data'!G61=4,8,IF('Indicator Data'!G61=3,5,IF('Indicator Data'!G61=2,2,IF('Indicator Data'!G61=1,1,0)))))</f>
        <v>5</v>
      </c>
      <c r="V59" s="4">
        <f>IF('Indicator Data'!H61="No data","x",IF('Indicator Data'!H61&gt;1000,10,IF('Indicator Data'!H61&gt;=500,9,IF('Indicator Data'!H61&gt;=240,8,IF('Indicator Data'!H61&gt;=120,7,IF('Indicator Data'!H61&gt;=60,6,IF('Indicator Data'!H61&gt;=20,5,IF('Indicator Data'!H61&gt;=10,4,IF('Indicator Data'!H61&gt;=5,3,0)))))))))</f>
        <v>3</v>
      </c>
      <c r="W59" s="6">
        <f t="shared" si="9"/>
        <v>5</v>
      </c>
      <c r="X59" s="4">
        <f>IF('Indicator Data'!K61="No data","x",IF('Indicator Data'!K61&gt;X$149,0,IF('Indicator Data'!K61&lt;X$150,10,(X$149-'Indicator Data'!K61)/(X$149-X$150)*10)))</f>
        <v>3.8133999999999997</v>
      </c>
      <c r="Y59" s="6">
        <f t="shared" si="10"/>
        <v>4.4066999999999998</v>
      </c>
      <c r="Z59" s="7">
        <f t="shared" si="11"/>
        <v>4.5584220000000002</v>
      </c>
      <c r="AA59" s="139">
        <f t="shared" si="12"/>
        <v>6.6912704007023844</v>
      </c>
    </row>
    <row r="60" spans="1:27" s="11" customFormat="1" x14ac:dyDescent="0.25">
      <c r="A60" s="16" t="s">
        <v>427</v>
      </c>
      <c r="B60" s="11" t="s">
        <v>576</v>
      </c>
      <c r="C60" s="126" t="s">
        <v>652</v>
      </c>
      <c r="D60" s="4">
        <f>IF('Indicator Data'!D62="No data","x",IF('Indicator Data'!D62=0,0,IF(LOG('Indicator Data'!D62)&gt;D$149,10,IF(LOG('Indicator Data'!D62)&lt;D$150,0,10-(D$149-LOG('Indicator Data'!D62))/(D$149-D$150)*10))))</f>
        <v>6.1730074942559297</v>
      </c>
      <c r="E60" s="4">
        <f>IF('Indicator Data'!E62="No data","x",IF('Indicator Data'!E62=0,0,IF(LOG('Indicator Data'!E62)&gt;E$149,10,IF(LOG('Indicator Data'!E62)&lt;E$150,0,10-(E$149-LOG('Indicator Data'!E62))/(E$149-E$150)*10))))</f>
        <v>6.8788212265054609</v>
      </c>
      <c r="F60" s="4">
        <f>IF('Indicator Data'!F62="No data","x",IF('Indicator Data'!F62=0,0,IF(LOG('Indicator Data'!F62)&gt;F$149,10,IF(LOG('Indicator Data'!F62)&lt;F$150,0,10-(F$149-LOG('Indicator Data'!F62))/(F$149-F$150)*10))))</f>
        <v>0</v>
      </c>
      <c r="G60" s="135">
        <f t="shared" si="16"/>
        <v>5.1591159198790955</v>
      </c>
      <c r="H60" s="54">
        <f>IF('Indicator Data'!D62="No data","x",'Indicator Data'!D62/'Indicator Data'!AN62)</f>
        <v>0.27863326540276795</v>
      </c>
      <c r="I60" s="54">
        <f>IF('Indicator Data'!E62="No data","x",'Indicator Data'!E62/'Indicator Data'!$AN62)</f>
        <v>0.17832837599833987</v>
      </c>
      <c r="J60" s="54">
        <f>IF('Indicator Data'!F62="No data","x",'Indicator Data'!F62/'Indicator Data'!$AN62)</f>
        <v>0</v>
      </c>
      <c r="K60" s="4">
        <f t="shared" si="13"/>
        <v>10</v>
      </c>
      <c r="L60" s="4">
        <f t="shared" si="14"/>
        <v>8.9164187999169933</v>
      </c>
      <c r="M60" s="4">
        <f t="shared" si="15"/>
        <v>0</v>
      </c>
      <c r="N60" s="135">
        <f t="shared" si="17"/>
        <v>6.6873140999377449</v>
      </c>
      <c r="O60" s="6">
        <f t="shared" si="18"/>
        <v>8.7687230569011003</v>
      </c>
      <c r="P60" s="6">
        <f t="shared" si="19"/>
        <v>5.9797936840276495</v>
      </c>
      <c r="Q60" s="15">
        <f t="shared" si="7"/>
        <v>7.6441907711609778</v>
      </c>
      <c r="R60" s="4">
        <f>IF(VLOOKUP($B60,'Indicator Data (national)'!$B$5:$H$14,6,FALSE)="No data","x",IF(VLOOKUP($B60,'Indicator Data (national)'!$B$5:$H$14,6,FALSE)&gt;R$149,10,IF(VLOOKUP($B60,'Indicator Data (national)'!$B$5:$H$14,6,FALSE)&lt;R$150,0,10-(R$149-VLOOKUP($B60,'Indicator Data (national)'!$B$5:$H$14,6,FALSE))/(R$149-R$150)*10)))</f>
        <v>9.5239467647379001</v>
      </c>
      <c r="S60" s="4">
        <f>IF(VLOOKUP($B60,'Indicator Data (national)'!$B$5:$H$14,7,FALSE)="No data","x",IF(VLOOKUP($B60,'Indicator Data (national)'!$B$5:$H$14,7,FALSE)&gt;S$149,10,IF(VLOOKUP($B60,'Indicator Data (national)'!$B$5:$H$14,7,FALSE)&lt;S$150,0,10-(S$149-VLOOKUP($B60,'Indicator Data (national)'!$B$5:$H$14,7,FALSE))/(S$149-S$150)*10)))</f>
        <v>6.420295095728985</v>
      </c>
      <c r="T60" s="138">
        <f t="shared" si="8"/>
        <v>8.3825408014047689</v>
      </c>
      <c r="U60" s="6">
        <f>IF('Indicator Data'!G62=5,10,IF('Indicator Data'!G62=4,8,IF('Indicator Data'!G62=3,5,IF('Indicator Data'!G62=2,2,IF('Indicator Data'!G62=1,1,0)))))</f>
        <v>8</v>
      </c>
      <c r="V60" s="4">
        <f>IF('Indicator Data'!H62="No data","x",IF('Indicator Data'!H62&gt;1000,10,IF('Indicator Data'!H62&gt;=500,9,IF('Indicator Data'!H62&gt;=240,8,IF('Indicator Data'!H62&gt;=120,7,IF('Indicator Data'!H62&gt;=60,6,IF('Indicator Data'!H62&gt;=20,5,IF('Indicator Data'!H62&gt;=10,4,IF('Indicator Data'!H62&gt;=5,3,0)))))))))</f>
        <v>5</v>
      </c>
      <c r="W60" s="6">
        <f t="shared" si="9"/>
        <v>8</v>
      </c>
      <c r="X60" s="4">
        <f>IF('Indicator Data'!K62="No data","x",IF('Indicator Data'!K62&gt;X$149,0,IF('Indicator Data'!K62&lt;X$150,10,(X$149-'Indicator Data'!K62)/(X$149-X$150)*10)))</f>
        <v>3.7330000000000001</v>
      </c>
      <c r="Y60" s="6">
        <f t="shared" si="10"/>
        <v>5.8665000000000003</v>
      </c>
      <c r="Z60" s="7">
        <f t="shared" si="11"/>
        <v>6.5118900000000011</v>
      </c>
      <c r="AA60" s="139">
        <f t="shared" si="12"/>
        <v>8</v>
      </c>
    </row>
    <row r="61" spans="1:27" s="11" customFormat="1" x14ac:dyDescent="0.25">
      <c r="A61" s="16" t="s">
        <v>428</v>
      </c>
      <c r="B61" s="11" t="s">
        <v>576</v>
      </c>
      <c r="C61" s="126" t="s">
        <v>653</v>
      </c>
      <c r="D61" s="4">
        <f>IF('Indicator Data'!D63="No data","x",IF('Indicator Data'!D63=0,0,IF(LOG('Indicator Data'!D63)&gt;D$149,10,IF(LOG('Indicator Data'!D63)&lt;D$150,0,10-(D$149-LOG('Indicator Data'!D63))/(D$149-D$150)*10))))</f>
        <v>5.1978275329409804</v>
      </c>
      <c r="E61" s="4">
        <f>IF('Indicator Data'!E63="No data","x",IF('Indicator Data'!E63=0,0,IF(LOG('Indicator Data'!E63)&gt;E$149,10,IF(LOG('Indicator Data'!E63)&lt;E$150,0,10-(E$149-LOG('Indicator Data'!E63))/(E$149-E$150)*10))))</f>
        <v>5.8358290760235665</v>
      </c>
      <c r="F61" s="4">
        <f>IF('Indicator Data'!F63="No data","x",IF('Indicator Data'!F63=0,0,IF(LOG('Indicator Data'!F63)&gt;F$149,10,IF(LOG('Indicator Data'!F63)&lt;F$150,0,10-(F$149-LOG('Indicator Data'!F63))/(F$149-F$150)*10))))</f>
        <v>5.9798361641390381</v>
      </c>
      <c r="G61" s="135">
        <f t="shared" si="16"/>
        <v>5.8718308480524346</v>
      </c>
      <c r="H61" s="54">
        <f>IF('Indicator Data'!D63="No data","x",'Indicator Data'!D63/'Indicator Data'!AN63)</f>
        <v>0.10314272435836637</v>
      </c>
      <c r="I61" s="54">
        <f>IF('Indicator Data'!E63="No data","x",'Indicator Data'!E63/'Indicator Data'!$AN63)</f>
        <v>7.5241383235009576E-2</v>
      </c>
      <c r="J61" s="54">
        <f>IF('Indicator Data'!F63="No data","x",'Indicator Data'!F63/'Indicator Data'!$AN63)</f>
        <v>9.1803877307130521E-2</v>
      </c>
      <c r="K61" s="4">
        <f t="shared" si="13"/>
        <v>5.1571362179183184</v>
      </c>
      <c r="L61" s="4">
        <f t="shared" si="14"/>
        <v>3.7620691617504782</v>
      </c>
      <c r="M61" s="4">
        <f t="shared" si="15"/>
        <v>4.5901938653565253</v>
      </c>
      <c r="N61" s="135">
        <f t="shared" si="17"/>
        <v>3.96910033765199</v>
      </c>
      <c r="O61" s="6">
        <f t="shared" si="18"/>
        <v>5.1775167568639144</v>
      </c>
      <c r="P61" s="6">
        <f t="shared" si="19"/>
        <v>4.9940042717681195</v>
      </c>
      <c r="Q61" s="15">
        <f t="shared" si="7"/>
        <v>5.0864592036352541</v>
      </c>
      <c r="R61" s="4">
        <f>IF(VLOOKUP($B61,'Indicator Data (national)'!$B$5:$H$14,6,FALSE)="No data","x",IF(VLOOKUP($B61,'Indicator Data (national)'!$B$5:$H$14,6,FALSE)&gt;R$149,10,IF(VLOOKUP($B61,'Indicator Data (national)'!$B$5:$H$14,6,FALSE)&lt;R$150,0,10-(R$149-VLOOKUP($B61,'Indicator Data (national)'!$B$5:$H$14,6,FALSE))/(R$149-R$150)*10)))</f>
        <v>9.5239467647379001</v>
      </c>
      <c r="S61" s="4">
        <f>IF(VLOOKUP($B61,'Indicator Data (national)'!$B$5:$H$14,7,FALSE)="No data","x",IF(VLOOKUP($B61,'Indicator Data (national)'!$B$5:$H$14,7,FALSE)&gt;S$149,10,IF(VLOOKUP($B61,'Indicator Data (national)'!$B$5:$H$14,7,FALSE)&lt;S$150,0,10-(S$149-VLOOKUP($B61,'Indicator Data (national)'!$B$5:$H$14,7,FALSE))/(S$149-S$150)*10)))</f>
        <v>6.420295095728985</v>
      </c>
      <c r="T61" s="138">
        <f t="shared" si="8"/>
        <v>8.3825408014047689</v>
      </c>
      <c r="U61" s="6">
        <f>IF('Indicator Data'!G63=5,10,IF('Indicator Data'!G63=4,8,IF('Indicator Data'!G63=3,5,IF('Indicator Data'!G63=2,2,IF('Indicator Data'!G63=1,1,0)))))</f>
        <v>8</v>
      </c>
      <c r="V61" s="4">
        <f>IF('Indicator Data'!H63="No data","x",IF('Indicator Data'!H63&gt;1000,10,IF('Indicator Data'!H63&gt;=500,9,IF('Indicator Data'!H63&gt;=240,8,IF('Indicator Data'!H63&gt;=120,7,IF('Indicator Data'!H63&gt;=60,6,IF('Indicator Data'!H63&gt;=20,5,IF('Indicator Data'!H63&gt;=10,4,IF('Indicator Data'!H63&gt;=5,3,0)))))))))</f>
        <v>4</v>
      </c>
      <c r="W61" s="6">
        <f t="shared" si="9"/>
        <v>8</v>
      </c>
      <c r="X61" s="4">
        <f>IF('Indicator Data'!K63="No data","x",IF('Indicator Data'!K63&gt;X$149,0,IF('Indicator Data'!K63&lt;X$150,10,(X$149-'Indicator Data'!K63)/(X$149-X$150)*10)))</f>
        <v>3.7915999999999999</v>
      </c>
      <c r="Y61" s="6">
        <f t="shared" si="10"/>
        <v>5.8957999999999995</v>
      </c>
      <c r="Z61" s="7">
        <f t="shared" si="11"/>
        <v>6.5312280000000005</v>
      </c>
      <c r="AA61" s="139">
        <f t="shared" si="12"/>
        <v>8</v>
      </c>
    </row>
    <row r="62" spans="1:27" s="11" customFormat="1" x14ac:dyDescent="0.25">
      <c r="A62" s="16" t="s">
        <v>429</v>
      </c>
      <c r="B62" s="11" t="s">
        <v>576</v>
      </c>
      <c r="C62" s="126" t="s">
        <v>654</v>
      </c>
      <c r="D62" s="4">
        <f>IF('Indicator Data'!D64="No data","x",IF('Indicator Data'!D64=0,0,IF(LOG('Indicator Data'!D64)&gt;D$149,10,IF(LOG('Indicator Data'!D64)&lt;D$150,0,10-(D$149-LOG('Indicator Data'!D64))/(D$149-D$150)*10))))</f>
        <v>4.5386366535173419</v>
      </c>
      <c r="E62" s="4">
        <f>IF('Indicator Data'!E64="No data","x",IF('Indicator Data'!E64=0,0,IF(LOG('Indicator Data'!E64)&gt;E$149,10,IF(LOG('Indicator Data'!E64)&lt;E$150,0,10-(E$149-LOG('Indicator Data'!E64))/(E$149-E$150)*10))))</f>
        <v>6.5186581808411885</v>
      </c>
      <c r="F62" s="4">
        <f>IF('Indicator Data'!F64="No data","x",IF('Indicator Data'!F64=0,0,IF(LOG('Indicator Data'!F64)&gt;F$149,10,IF(LOG('Indicator Data'!F64)&lt;F$150,0,10-(F$149-LOG('Indicator Data'!F64))/(F$149-F$150)*10))))</f>
        <v>0</v>
      </c>
      <c r="G62" s="135">
        <f t="shared" si="16"/>
        <v>4.8889936356308912</v>
      </c>
      <c r="H62" s="54">
        <f>IF('Indicator Data'!D64="No data","x",'Indicator Data'!D64/'Indicator Data'!AN64)</f>
        <v>0.13512566066228024</v>
      </c>
      <c r="I62" s="54">
        <f>IF('Indicator Data'!E64="No data","x",'Indicator Data'!E64/'Indicator Data'!$AN64)</f>
        <v>0.73263402006256062</v>
      </c>
      <c r="J62" s="54">
        <f>IF('Indicator Data'!F64="No data","x",'Indicator Data'!F64/'Indicator Data'!$AN64)</f>
        <v>0</v>
      </c>
      <c r="K62" s="4">
        <f t="shared" si="13"/>
        <v>6.7562830331140118</v>
      </c>
      <c r="L62" s="4">
        <f t="shared" si="14"/>
        <v>10</v>
      </c>
      <c r="M62" s="4">
        <f t="shared" si="15"/>
        <v>0</v>
      </c>
      <c r="N62" s="135">
        <f t="shared" si="17"/>
        <v>7.5</v>
      </c>
      <c r="O62" s="6">
        <f t="shared" si="18"/>
        <v>5.7611581851641827</v>
      </c>
      <c r="P62" s="6">
        <f t="shared" si="19"/>
        <v>6.3709890082170055</v>
      </c>
      <c r="Q62" s="15">
        <f t="shared" si="7"/>
        <v>6.0752963693117241</v>
      </c>
      <c r="R62" s="4">
        <f>IF(VLOOKUP($B62,'Indicator Data (national)'!$B$5:$H$14,6,FALSE)="No data","x",IF(VLOOKUP($B62,'Indicator Data (national)'!$B$5:$H$14,6,FALSE)&gt;R$149,10,IF(VLOOKUP($B62,'Indicator Data (national)'!$B$5:$H$14,6,FALSE)&lt;R$150,0,10-(R$149-VLOOKUP($B62,'Indicator Data (national)'!$B$5:$H$14,6,FALSE))/(R$149-R$150)*10)))</f>
        <v>9.5239467647379001</v>
      </c>
      <c r="S62" s="4">
        <f>IF(VLOOKUP($B62,'Indicator Data (national)'!$B$5:$H$14,7,FALSE)="No data","x",IF(VLOOKUP($B62,'Indicator Data (national)'!$B$5:$H$14,7,FALSE)&gt;S$149,10,IF(VLOOKUP($B62,'Indicator Data (national)'!$B$5:$H$14,7,FALSE)&lt;S$150,0,10-(S$149-VLOOKUP($B62,'Indicator Data (national)'!$B$5:$H$14,7,FALSE))/(S$149-S$150)*10)))</f>
        <v>6.420295095728985</v>
      </c>
      <c r="T62" s="138">
        <f t="shared" si="8"/>
        <v>8.3825408014047689</v>
      </c>
      <c r="U62" s="6">
        <f>IF('Indicator Data'!G64=5,10,IF('Indicator Data'!G64=4,8,IF('Indicator Data'!G64=3,5,IF('Indicator Data'!G64=2,2,IF('Indicator Data'!G64=1,1,0)))))</f>
        <v>8</v>
      </c>
      <c r="V62" s="4">
        <f>IF('Indicator Data'!H64="No data","x",IF('Indicator Data'!H64&gt;1000,10,IF('Indicator Data'!H64&gt;=500,9,IF('Indicator Data'!H64&gt;=240,8,IF('Indicator Data'!H64&gt;=120,7,IF('Indicator Data'!H64&gt;=60,6,IF('Indicator Data'!H64&gt;=20,5,IF('Indicator Data'!H64&gt;=10,4,IF('Indicator Data'!H64&gt;=5,3,0)))))))))</f>
        <v>7</v>
      </c>
      <c r="W62" s="6">
        <f t="shared" si="9"/>
        <v>8</v>
      </c>
      <c r="X62" s="4">
        <f>IF('Indicator Data'!K64="No data","x",IF('Indicator Data'!K64&gt;X$149,0,IF('Indicator Data'!K64&lt;X$150,10,(X$149-'Indicator Data'!K64)/(X$149-X$150)*10)))</f>
        <v>3.5784000000000002</v>
      </c>
      <c r="Y62" s="6">
        <f t="shared" si="10"/>
        <v>5.7892000000000001</v>
      </c>
      <c r="Z62" s="7">
        <f t="shared" si="11"/>
        <v>6.4608720000000002</v>
      </c>
      <c r="AA62" s="139">
        <f t="shared" si="12"/>
        <v>8</v>
      </c>
    </row>
    <row r="63" spans="1:27" s="11" customFormat="1" x14ac:dyDescent="0.25">
      <c r="A63" s="16" t="s">
        <v>430</v>
      </c>
      <c r="B63" s="11" t="s">
        <v>576</v>
      </c>
      <c r="C63" s="126" t="s">
        <v>655</v>
      </c>
      <c r="D63" s="4">
        <f>IF('Indicator Data'!D65="No data","x",IF('Indicator Data'!D65=0,0,IF(LOG('Indicator Data'!D65)&gt;D$149,10,IF(LOG('Indicator Data'!D65)&lt;D$150,0,10-(D$149-LOG('Indicator Data'!D65))/(D$149-D$150)*10))))</f>
        <v>6.5253078738399148</v>
      </c>
      <c r="E63" s="4">
        <f>IF('Indicator Data'!E65="No data","x",IF('Indicator Data'!E65=0,0,IF(LOG('Indicator Data'!E65)&gt;E$149,10,IF(LOG('Indicator Data'!E65)&lt;E$150,0,10-(E$149-LOG('Indicator Data'!E65))/(E$149-E$150)*10))))</f>
        <v>6.8483408459023076</v>
      </c>
      <c r="F63" s="4">
        <f>IF('Indicator Data'!F65="No data","x",IF('Indicator Data'!F65=0,0,IF(LOG('Indicator Data'!F65)&gt;F$149,10,IF(LOG('Indicator Data'!F65)&lt;F$150,0,10-(F$149-LOG('Indicator Data'!F65))/(F$149-F$150)*10))))</f>
        <v>6.3123396548502519</v>
      </c>
      <c r="G63" s="135">
        <f t="shared" si="16"/>
        <v>6.7143405481392939</v>
      </c>
      <c r="H63" s="54">
        <f>IF('Indicator Data'!D65="No data","x",'Indicator Data'!D65/'Indicator Data'!AN65)</f>
        <v>0.29265492254565584</v>
      </c>
      <c r="I63" s="54">
        <f>IF('Indicator Data'!E65="No data","x",'Indicator Data'!E65/'Indicator Data'!$AN65)</f>
        <v>0.10177587136632107</v>
      </c>
      <c r="J63" s="54">
        <f>IF('Indicator Data'!F65="No data","x",'Indicator Data'!F65/'Indicator Data'!$AN65)</f>
        <v>4.8533779722901668E-2</v>
      </c>
      <c r="K63" s="4">
        <f t="shared" si="13"/>
        <v>10</v>
      </c>
      <c r="L63" s="4">
        <f t="shared" si="14"/>
        <v>5.0887935683160537</v>
      </c>
      <c r="M63" s="4">
        <f t="shared" si="15"/>
        <v>2.4266889861450833</v>
      </c>
      <c r="N63" s="135">
        <f t="shared" si="17"/>
        <v>4.4232674227733115</v>
      </c>
      <c r="O63" s="6">
        <f t="shared" si="18"/>
        <v>8.8538258100688765</v>
      </c>
      <c r="P63" s="6">
        <f t="shared" si="19"/>
        <v>5.6884812824541244</v>
      </c>
      <c r="Q63" s="15">
        <f t="shared" si="7"/>
        <v>7.6124795778940744</v>
      </c>
      <c r="R63" s="4">
        <f>IF(VLOOKUP($B63,'Indicator Data (national)'!$B$5:$H$14,6,FALSE)="No data","x",IF(VLOOKUP($B63,'Indicator Data (national)'!$B$5:$H$14,6,FALSE)&gt;R$149,10,IF(VLOOKUP($B63,'Indicator Data (national)'!$B$5:$H$14,6,FALSE)&lt;R$150,0,10-(R$149-VLOOKUP($B63,'Indicator Data (national)'!$B$5:$H$14,6,FALSE))/(R$149-R$150)*10)))</f>
        <v>9.5239467647379001</v>
      </c>
      <c r="S63" s="4">
        <f>IF(VLOOKUP($B63,'Indicator Data (national)'!$B$5:$H$14,7,FALSE)="No data","x",IF(VLOOKUP($B63,'Indicator Data (national)'!$B$5:$H$14,7,FALSE)&gt;S$149,10,IF(VLOOKUP($B63,'Indicator Data (national)'!$B$5:$H$14,7,FALSE)&lt;S$150,0,10-(S$149-VLOOKUP($B63,'Indicator Data (national)'!$B$5:$H$14,7,FALSE))/(S$149-S$150)*10)))</f>
        <v>6.420295095728985</v>
      </c>
      <c r="T63" s="138">
        <f t="shared" si="8"/>
        <v>8.3825408014047689</v>
      </c>
      <c r="U63" s="6">
        <f>IF('Indicator Data'!G65=5,10,IF('Indicator Data'!G65=4,8,IF('Indicator Data'!G65=3,5,IF('Indicator Data'!G65=2,2,IF('Indicator Data'!G65=1,1,0)))))</f>
        <v>5</v>
      </c>
      <c r="V63" s="4">
        <f>IF('Indicator Data'!H65="No data","x",IF('Indicator Data'!H65&gt;1000,10,IF('Indicator Data'!H65&gt;=500,9,IF('Indicator Data'!H65&gt;=240,8,IF('Indicator Data'!H65&gt;=120,7,IF('Indicator Data'!H65&gt;=60,6,IF('Indicator Data'!H65&gt;=20,5,IF('Indicator Data'!H65&gt;=10,4,IF('Indicator Data'!H65&gt;=5,3,0)))))))))</f>
        <v>4</v>
      </c>
      <c r="W63" s="6">
        <f t="shared" si="9"/>
        <v>5</v>
      </c>
      <c r="X63" s="4">
        <f>IF('Indicator Data'!K65="No data","x",IF('Indicator Data'!K65&gt;X$149,0,IF('Indicator Data'!K65&lt;X$150,10,(X$149-'Indicator Data'!K65)/(X$149-X$150)*10)))</f>
        <v>3.7658000000000005</v>
      </c>
      <c r="Y63" s="6">
        <f t="shared" si="10"/>
        <v>4.3829000000000002</v>
      </c>
      <c r="Z63" s="7">
        <f t="shared" si="11"/>
        <v>4.5427140000000001</v>
      </c>
      <c r="AA63" s="139">
        <f t="shared" si="12"/>
        <v>6.6912704007023844</v>
      </c>
    </row>
    <row r="64" spans="1:27" s="11" customFormat="1" x14ac:dyDescent="0.25">
      <c r="A64" s="16" t="s">
        <v>431</v>
      </c>
      <c r="B64" s="11" t="s">
        <v>576</v>
      </c>
      <c r="C64" s="126" t="s">
        <v>656</v>
      </c>
      <c r="D64" s="4">
        <f>IF('Indicator Data'!D66="No data","x",IF('Indicator Data'!D66=0,0,IF(LOG('Indicator Data'!D66)&gt;D$149,10,IF(LOG('Indicator Data'!D66)&lt;D$150,0,10-(D$149-LOG('Indicator Data'!D66))/(D$149-D$150)*10))))</f>
        <v>6.3290703232564525</v>
      </c>
      <c r="E64" s="4">
        <f>IF('Indicator Data'!E66="No data","x",IF('Indicator Data'!E66=0,0,IF(LOG('Indicator Data'!E66)&gt;E$149,10,IF(LOG('Indicator Data'!E66)&lt;E$150,0,10-(E$149-LOG('Indicator Data'!E66))/(E$149-E$150)*10))))</f>
        <v>7.7616943844320847</v>
      </c>
      <c r="F64" s="4">
        <f>IF('Indicator Data'!F66="No data","x",IF('Indicator Data'!F66=0,0,IF(LOG('Indicator Data'!F66)&gt;F$149,10,IF(LOG('Indicator Data'!F66)&lt;F$150,0,10-(F$149-LOG('Indicator Data'!F66))/(F$149-F$150)*10))))</f>
        <v>5.5454619619029248</v>
      </c>
      <c r="G64" s="135">
        <f t="shared" si="16"/>
        <v>7.2076362787997947</v>
      </c>
      <c r="H64" s="54">
        <f>IF('Indicator Data'!D66="No data","x",'Indicator Data'!D66/'Indicator Data'!AN66)</f>
        <v>0.27175135714264098</v>
      </c>
      <c r="I64" s="54">
        <f>IF('Indicator Data'!E66="No data","x",'Indicator Data'!E66/'Indicator Data'!$AN66)</f>
        <v>0.45797221048044012</v>
      </c>
      <c r="J64" s="54">
        <f>IF('Indicator Data'!F66="No data","x",'Indicator Data'!F66/'Indicator Data'!$AN66)</f>
        <v>2.1433824605013734E-2</v>
      </c>
      <c r="K64" s="4">
        <f t="shared" si="13"/>
        <v>10</v>
      </c>
      <c r="L64" s="4">
        <f t="shared" si="14"/>
        <v>10</v>
      </c>
      <c r="M64" s="4">
        <f t="shared" si="15"/>
        <v>1.0716912302506856</v>
      </c>
      <c r="N64" s="135">
        <f t="shared" si="17"/>
        <v>7.7679228075626714</v>
      </c>
      <c r="O64" s="6">
        <f t="shared" si="18"/>
        <v>8.806034398033681</v>
      </c>
      <c r="P64" s="6">
        <f t="shared" si="19"/>
        <v>7.4986256228940444</v>
      </c>
      <c r="Q64" s="15">
        <f t="shared" si="7"/>
        <v>8.2254472056607018</v>
      </c>
      <c r="R64" s="4">
        <f>IF(VLOOKUP($B64,'Indicator Data (national)'!$B$5:$H$14,6,FALSE)="No data","x",IF(VLOOKUP($B64,'Indicator Data (national)'!$B$5:$H$14,6,FALSE)&gt;R$149,10,IF(VLOOKUP($B64,'Indicator Data (national)'!$B$5:$H$14,6,FALSE)&lt;R$150,0,10-(R$149-VLOOKUP($B64,'Indicator Data (national)'!$B$5:$H$14,6,FALSE))/(R$149-R$150)*10)))</f>
        <v>9.5239467647379001</v>
      </c>
      <c r="S64" s="4">
        <f>IF(VLOOKUP($B64,'Indicator Data (national)'!$B$5:$H$14,7,FALSE)="No data","x",IF(VLOOKUP($B64,'Indicator Data (national)'!$B$5:$H$14,7,FALSE)&gt;S$149,10,IF(VLOOKUP($B64,'Indicator Data (national)'!$B$5:$H$14,7,FALSE)&lt;S$150,0,10-(S$149-VLOOKUP($B64,'Indicator Data (national)'!$B$5:$H$14,7,FALSE))/(S$149-S$150)*10)))</f>
        <v>6.420295095728985</v>
      </c>
      <c r="T64" s="138">
        <f t="shared" si="8"/>
        <v>8.3825408014047689</v>
      </c>
      <c r="U64" s="6">
        <f>IF('Indicator Data'!G66=5,10,IF('Indicator Data'!G66=4,8,IF('Indicator Data'!G66=3,5,IF('Indicator Data'!G66=2,2,IF('Indicator Data'!G66=1,1,0)))))</f>
        <v>5</v>
      </c>
      <c r="V64" s="4">
        <f>IF('Indicator Data'!H66="No data","x",IF('Indicator Data'!H66&gt;1000,10,IF('Indicator Data'!H66&gt;=500,9,IF('Indicator Data'!H66&gt;=240,8,IF('Indicator Data'!H66&gt;=120,7,IF('Indicator Data'!H66&gt;=60,6,IF('Indicator Data'!H66&gt;=20,5,IF('Indicator Data'!H66&gt;=10,4,IF('Indicator Data'!H66&gt;=5,3,0)))))))))</f>
        <v>0</v>
      </c>
      <c r="W64" s="6">
        <f t="shared" si="9"/>
        <v>5</v>
      </c>
      <c r="X64" s="4">
        <f>IF('Indicator Data'!K66="No data","x",IF('Indicator Data'!K66&gt;X$149,0,IF('Indicator Data'!K66&lt;X$150,10,(X$149-'Indicator Data'!K66)/(X$149-X$150)*10)))</f>
        <v>3.8929999999999998</v>
      </c>
      <c r="Y64" s="6">
        <f t="shared" si="10"/>
        <v>4.4465000000000003</v>
      </c>
      <c r="Z64" s="7">
        <f t="shared" si="11"/>
        <v>4.5846900000000002</v>
      </c>
      <c r="AA64" s="139">
        <f t="shared" si="12"/>
        <v>6.6912704007023844</v>
      </c>
    </row>
    <row r="65" spans="1:27" s="11" customFormat="1" x14ac:dyDescent="0.25">
      <c r="A65" s="16" t="s">
        <v>432</v>
      </c>
      <c r="B65" s="11" t="s">
        <v>576</v>
      </c>
      <c r="C65" s="126" t="s">
        <v>657</v>
      </c>
      <c r="D65" s="4">
        <f>IF('Indicator Data'!D67="No data","x",IF('Indicator Data'!D67=0,0,IF(LOG('Indicator Data'!D67)&gt;D$149,10,IF(LOG('Indicator Data'!D67)&lt;D$150,0,10-(D$149-LOG('Indicator Data'!D67))/(D$149-D$150)*10))))</f>
        <v>5.8278617548590486</v>
      </c>
      <c r="E65" s="4">
        <f>IF('Indicator Data'!E67="No data","x",IF('Indicator Data'!E67=0,0,IF(LOG('Indicator Data'!E67)&gt;E$149,10,IF(LOG('Indicator Data'!E67)&lt;E$150,0,10-(E$149-LOG('Indicator Data'!E67))/(E$149-E$150)*10))))</f>
        <v>8.1341605452722714</v>
      </c>
      <c r="F65" s="4">
        <f>IF('Indicator Data'!F67="No data","x",IF('Indicator Data'!F67=0,0,IF(LOG('Indicator Data'!F67)&gt;F$149,10,IF(LOG('Indicator Data'!F67)&lt;F$150,0,10-(F$149-LOG('Indicator Data'!F67))/(F$149-F$150)*10))))</f>
        <v>0</v>
      </c>
      <c r="G65" s="135">
        <f t="shared" si="16"/>
        <v>6.1006204089542031</v>
      </c>
      <c r="H65" s="54">
        <f>IF('Indicator Data'!D67="No data","x",'Indicator Data'!D67/'Indicator Data'!AN67)</f>
        <v>0.10209670234002251</v>
      </c>
      <c r="I65" s="54">
        <f>IF('Indicator Data'!E67="No data","x",'Indicator Data'!E67/'Indicator Data'!$AN67)</f>
        <v>0.64566138537766482</v>
      </c>
      <c r="J65" s="54">
        <f>IF('Indicator Data'!F67="No data","x",'Indicator Data'!F67/'Indicator Data'!$AN67)</f>
        <v>0</v>
      </c>
      <c r="K65" s="4">
        <f t="shared" si="13"/>
        <v>5.1048351170011248</v>
      </c>
      <c r="L65" s="4">
        <f t="shared" si="14"/>
        <v>10</v>
      </c>
      <c r="M65" s="4">
        <f t="shared" si="15"/>
        <v>0</v>
      </c>
      <c r="N65" s="135">
        <f t="shared" si="17"/>
        <v>7.5</v>
      </c>
      <c r="O65" s="6">
        <f t="shared" si="18"/>
        <v>5.4779367147912348</v>
      </c>
      <c r="P65" s="6">
        <f t="shared" si="19"/>
        <v>6.857472827632165</v>
      </c>
      <c r="Q65" s="15">
        <f t="shared" si="7"/>
        <v>6.2160639949231955</v>
      </c>
      <c r="R65" s="4">
        <f>IF(VLOOKUP($B65,'Indicator Data (national)'!$B$5:$H$14,6,FALSE)="No data","x",IF(VLOOKUP($B65,'Indicator Data (national)'!$B$5:$H$14,6,FALSE)&gt;R$149,10,IF(VLOOKUP($B65,'Indicator Data (national)'!$B$5:$H$14,6,FALSE)&lt;R$150,0,10-(R$149-VLOOKUP($B65,'Indicator Data (national)'!$B$5:$H$14,6,FALSE))/(R$149-R$150)*10)))</f>
        <v>9.5239467647379001</v>
      </c>
      <c r="S65" s="4">
        <f>IF(VLOOKUP($B65,'Indicator Data (national)'!$B$5:$H$14,7,FALSE)="No data","x",IF(VLOOKUP($B65,'Indicator Data (national)'!$B$5:$H$14,7,FALSE)&gt;S$149,10,IF(VLOOKUP($B65,'Indicator Data (national)'!$B$5:$H$14,7,FALSE)&lt;S$150,0,10-(S$149-VLOOKUP($B65,'Indicator Data (national)'!$B$5:$H$14,7,FALSE))/(S$149-S$150)*10)))</f>
        <v>6.420295095728985</v>
      </c>
      <c r="T65" s="138">
        <f t="shared" si="8"/>
        <v>8.3825408014047689</v>
      </c>
      <c r="U65" s="6">
        <f>IF('Indicator Data'!G67=5,10,IF('Indicator Data'!G67=4,8,IF('Indicator Data'!G67=3,5,IF('Indicator Data'!G67=2,2,IF('Indicator Data'!G67=1,1,0)))))</f>
        <v>5</v>
      </c>
      <c r="V65" s="4">
        <f>IF('Indicator Data'!H67="No data","x",IF('Indicator Data'!H67&gt;1000,10,IF('Indicator Data'!H67&gt;=500,9,IF('Indicator Data'!H67&gt;=240,8,IF('Indicator Data'!H67&gt;=120,7,IF('Indicator Data'!H67&gt;=60,6,IF('Indicator Data'!H67&gt;=20,5,IF('Indicator Data'!H67&gt;=10,4,IF('Indicator Data'!H67&gt;=5,3,0)))))))))</f>
        <v>7</v>
      </c>
      <c r="W65" s="6">
        <f t="shared" si="9"/>
        <v>7</v>
      </c>
      <c r="X65" s="4">
        <f>IF('Indicator Data'!K67="No data","x",IF('Indicator Data'!K67&gt;X$149,0,IF('Indicator Data'!K67&lt;X$150,10,(X$149-'Indicator Data'!K67)/(X$149-X$150)*10)))</f>
        <v>3.6280000000000001</v>
      </c>
      <c r="Y65" s="6">
        <f>AVERAGE(U65,X65)</f>
        <v>4.3140000000000001</v>
      </c>
      <c r="Z65" s="7">
        <f t="shared" si="11"/>
        <v>5.1572399999999998</v>
      </c>
      <c r="AA65" s="139">
        <f t="shared" si="12"/>
        <v>7.6912704007023844</v>
      </c>
    </row>
    <row r="66" spans="1:27" s="11" customFormat="1" x14ac:dyDescent="0.25">
      <c r="A66" s="16" t="s">
        <v>433</v>
      </c>
      <c r="B66" s="11" t="s">
        <v>576</v>
      </c>
      <c r="C66" s="126" t="s">
        <v>658</v>
      </c>
      <c r="D66" s="4">
        <f>IF('Indicator Data'!D68="No data","x",IF('Indicator Data'!D68=0,0,IF(LOG('Indicator Data'!D68)&gt;D$149,10,IF(LOG('Indicator Data'!D68)&lt;D$150,0,10-(D$149-LOG('Indicator Data'!D68))/(D$149-D$150)*10))))</f>
        <v>0</v>
      </c>
      <c r="E66" s="4">
        <f>IF('Indicator Data'!E68="No data","x",IF('Indicator Data'!E68=0,0,IF(LOG('Indicator Data'!E68)&gt;E$149,10,IF(LOG('Indicator Data'!E68)&lt;E$150,0,10-(E$149-LOG('Indicator Data'!E68))/(E$149-E$150)*10))))</f>
        <v>7.2425770627797998</v>
      </c>
      <c r="F66" s="4">
        <f>IF('Indicator Data'!F68="No data","x",IF('Indicator Data'!F68=0,0,IF(LOG('Indicator Data'!F68)&gt;F$149,10,IF(LOG('Indicator Data'!F68)&lt;F$150,0,10-(F$149-LOG('Indicator Data'!F68))/(F$149-F$150)*10))))</f>
        <v>2.2820264290169057</v>
      </c>
      <c r="G66" s="135">
        <f t="shared" si="16"/>
        <v>6.0024394043390759</v>
      </c>
      <c r="H66" s="54">
        <f>IF('Indicator Data'!D68="No data","x",'Indicator Data'!D68/'Indicator Data'!AN68)</f>
        <v>0</v>
      </c>
      <c r="I66" s="54">
        <f>IF('Indicator Data'!E68="No data","x",'Indicator Data'!E68/'Indicator Data'!$AN68)</f>
        <v>0.67838599069311778</v>
      </c>
      <c r="J66" s="54">
        <f>IF('Indicator Data'!F68="No data","x",'Indicator Data'!F68/'Indicator Data'!$AN68)</f>
        <v>7.1638501102130783E-4</v>
      </c>
      <c r="K66" s="4">
        <f t="shared" si="13"/>
        <v>0</v>
      </c>
      <c r="L66" s="4">
        <f t="shared" si="14"/>
        <v>10</v>
      </c>
      <c r="M66" s="4">
        <f t="shared" si="15"/>
        <v>3.5819250551066162E-2</v>
      </c>
      <c r="N66" s="135">
        <f t="shared" si="17"/>
        <v>7.5089548126377661</v>
      </c>
      <c r="O66" s="6">
        <f>IF(AND(D66="x",K66="x"),"x",(10-GEOMEAN(((10-D66)/10*9+1),((10-K66)/10*9+1)))/9*10)</f>
        <v>0</v>
      </c>
      <c r="P66" s="6">
        <f>IF(AND(G66="x",N66="x"),"x",(10-GEOMEAN(((10-G66)/10*9+1),((10-N66)/10*9+1)))/9*10)</f>
        <v>6.8213286031765357</v>
      </c>
      <c r="Q66" s="15">
        <f t="shared" si="7"/>
        <v>4.2071810645244607</v>
      </c>
      <c r="R66" s="4">
        <f>IF(VLOOKUP($B66,'Indicator Data (national)'!$B$5:$H$14,6,FALSE)="No data","x",IF(VLOOKUP($B66,'Indicator Data (national)'!$B$5:$H$14,6,FALSE)&gt;R$149,10,IF(VLOOKUP($B66,'Indicator Data (national)'!$B$5:$H$14,6,FALSE)&lt;R$150,0,10-(R$149-VLOOKUP($B66,'Indicator Data (national)'!$B$5:$H$14,6,FALSE))/(R$149-R$150)*10)))</f>
        <v>9.5239467647379001</v>
      </c>
      <c r="S66" s="4">
        <f>IF(VLOOKUP($B66,'Indicator Data (national)'!$B$5:$H$14,7,FALSE)="No data","x",IF(VLOOKUP($B66,'Indicator Data (national)'!$B$5:$H$14,7,FALSE)&gt;S$149,10,IF(VLOOKUP($B66,'Indicator Data (national)'!$B$5:$H$14,7,FALSE)&lt;S$150,0,10-(S$149-VLOOKUP($B66,'Indicator Data (national)'!$B$5:$H$14,7,FALSE))/(S$149-S$150)*10)))</f>
        <v>6.420295095728985</v>
      </c>
      <c r="T66" s="138">
        <f t="shared" si="8"/>
        <v>8.3825408014047689</v>
      </c>
      <c r="U66" s="6">
        <f>IF('Indicator Data'!G68=5,10,IF('Indicator Data'!G68=4,8,IF('Indicator Data'!G68=3,5,IF('Indicator Data'!G68=2,2,IF('Indicator Data'!G68=1,1,0)))))</f>
        <v>5</v>
      </c>
      <c r="V66" s="4">
        <f>IF('Indicator Data'!H68="No data","x",IF('Indicator Data'!H68&gt;1000,10,IF('Indicator Data'!H68&gt;=500,9,IF('Indicator Data'!H68&gt;=240,8,IF('Indicator Data'!H68&gt;=120,7,IF('Indicator Data'!H68&gt;=60,6,IF('Indicator Data'!H68&gt;=20,5,IF('Indicator Data'!H68&gt;=10,4,IF('Indicator Data'!H68&gt;=5,3,0)))))))))</f>
        <v>7</v>
      </c>
      <c r="W66" s="6">
        <f t="shared" si="9"/>
        <v>7</v>
      </c>
      <c r="X66" s="4">
        <f>IF('Indicator Data'!K68="No data","x",IF('Indicator Data'!K68&gt;X$149,0,IF('Indicator Data'!K68&lt;X$150,10,(X$149-'Indicator Data'!K68)/(X$149-X$150)*10)))</f>
        <v>3.6147999999999998</v>
      </c>
      <c r="Y66" s="6">
        <f t="shared" si="10"/>
        <v>4.3073999999999995</v>
      </c>
      <c r="Z66" s="7">
        <f t="shared" si="11"/>
        <v>5.1528840000000002</v>
      </c>
      <c r="AA66" s="139">
        <f t="shared" si="12"/>
        <v>7.6912704007023844</v>
      </c>
    </row>
    <row r="67" spans="1:27" s="11" customFormat="1" x14ac:dyDescent="0.25">
      <c r="A67" s="16" t="s">
        <v>434</v>
      </c>
      <c r="B67" s="11" t="s">
        <v>576</v>
      </c>
      <c r="C67" s="126" t="s">
        <v>659</v>
      </c>
      <c r="D67" s="4">
        <f>IF('Indicator Data'!D69="No data","x",IF('Indicator Data'!D69=0,0,IF(LOG('Indicator Data'!D69)&gt;D$149,10,IF(LOG('Indicator Data'!D69)&lt;D$150,0,10-(D$149-LOG('Indicator Data'!D69))/(D$149-D$150)*10))))</f>
        <v>4.0934287402561456</v>
      </c>
      <c r="E67" s="4">
        <f>IF('Indicator Data'!E69="No data","x",IF('Indicator Data'!E69=0,0,IF(LOG('Indicator Data'!E69)&gt;E$149,10,IF(LOG('Indicator Data'!E69)&lt;E$150,0,10-(E$149-LOG('Indicator Data'!E69))/(E$149-E$150)*10))))</f>
        <v>8.2962593412599492</v>
      </c>
      <c r="F67" s="4">
        <f>IF('Indicator Data'!F69="No data","x",IF('Indicator Data'!F69=0,0,IF(LOG('Indicator Data'!F69)&gt;F$149,10,IF(LOG('Indicator Data'!F69)&lt;F$150,0,10-(F$149-LOG('Indicator Data'!F69))/(F$149-F$150)*10))))</f>
        <v>0</v>
      </c>
      <c r="G67" s="135">
        <f t="shared" si="16"/>
        <v>6.2221945059449624</v>
      </c>
      <c r="H67" s="54">
        <f>IF('Indicator Data'!D69="No data","x",'Indicator Data'!D69/'Indicator Data'!AN69)</f>
        <v>4.8142399112630898E-3</v>
      </c>
      <c r="I67" s="54">
        <f>IF('Indicator Data'!E69="No data","x",'Indicator Data'!E69/'Indicator Data'!$AN69)</f>
        <v>0.62356713190098478</v>
      </c>
      <c r="J67" s="54">
        <f>IF('Indicator Data'!F69="No data","x",'Indicator Data'!F69/'Indicator Data'!$AN69)</f>
        <v>0</v>
      </c>
      <c r="K67" s="4">
        <f t="shared" si="13"/>
        <v>0.2407119955631547</v>
      </c>
      <c r="L67" s="4">
        <f t="shared" si="14"/>
        <v>10</v>
      </c>
      <c r="M67" s="4">
        <f t="shared" si="15"/>
        <v>0</v>
      </c>
      <c r="N67" s="135">
        <f t="shared" si="17"/>
        <v>7.5</v>
      </c>
      <c r="O67" s="6">
        <f t="shared" ref="O67:O98" si="20">IF(AND(D67="x",K67="x"),"x",(10-GEOMEAN(((10-D67)/10*9+1),((10-K67)/10*9+1)))/9*10)</f>
        <v>2.3769821770193822</v>
      </c>
      <c r="P67" s="6">
        <f t="shared" ref="P67:P98" si="21">IF(AND(G67="x",N67="x"),"x",(10-GEOMEAN(((10-G67)/10*9+1),((10-N67)/10*9+1)))/9*10)</f>
        <v>6.9093946672978106</v>
      </c>
      <c r="Q67" s="15">
        <f t="shared" si="7"/>
        <v>5.0531961922005832</v>
      </c>
      <c r="R67" s="4">
        <f>IF(VLOOKUP($B67,'Indicator Data (national)'!$B$5:$H$14,6,FALSE)="No data","x",IF(VLOOKUP($B67,'Indicator Data (national)'!$B$5:$H$14,6,FALSE)&gt;R$149,10,IF(VLOOKUP($B67,'Indicator Data (national)'!$B$5:$H$14,6,FALSE)&lt;R$150,0,10-(R$149-VLOOKUP($B67,'Indicator Data (national)'!$B$5:$H$14,6,FALSE))/(R$149-R$150)*10)))</f>
        <v>9.5239467647379001</v>
      </c>
      <c r="S67" s="4">
        <f>IF(VLOOKUP($B67,'Indicator Data (national)'!$B$5:$H$14,7,FALSE)="No data","x",IF(VLOOKUP($B67,'Indicator Data (national)'!$B$5:$H$14,7,FALSE)&gt;S$149,10,IF(VLOOKUP($B67,'Indicator Data (national)'!$B$5:$H$14,7,FALSE)&lt;S$150,0,10-(S$149-VLOOKUP($B67,'Indicator Data (national)'!$B$5:$H$14,7,FALSE))/(S$149-S$150)*10)))</f>
        <v>6.420295095728985</v>
      </c>
      <c r="T67" s="138">
        <f t="shared" si="8"/>
        <v>8.3825408014047689</v>
      </c>
      <c r="U67" s="6">
        <f>IF('Indicator Data'!G69=5,10,IF('Indicator Data'!G69=4,8,IF('Indicator Data'!G69=3,5,IF('Indicator Data'!G69=2,2,IF('Indicator Data'!G69=1,1,0)))))</f>
        <v>5</v>
      </c>
      <c r="V67" s="4">
        <f>IF('Indicator Data'!H69="No data","x",IF('Indicator Data'!H69&gt;1000,10,IF('Indicator Data'!H69&gt;=500,9,IF('Indicator Data'!H69&gt;=240,8,IF('Indicator Data'!H69&gt;=120,7,IF('Indicator Data'!H69&gt;=60,6,IF('Indicator Data'!H69&gt;=20,5,IF('Indicator Data'!H69&gt;=10,4,IF('Indicator Data'!H69&gt;=5,3,0)))))))))</f>
        <v>5</v>
      </c>
      <c r="W67" s="6">
        <f t="shared" si="9"/>
        <v>5</v>
      </c>
      <c r="X67" s="4">
        <f>IF('Indicator Data'!K69="No data","x",IF('Indicator Data'!K69&gt;X$149,0,IF('Indicator Data'!K69&lt;X$150,10,(X$149-'Indicator Data'!K69)/(X$149-X$150)*10)))</f>
        <v>3.7225999999999999</v>
      </c>
      <c r="Y67" s="6">
        <f t="shared" si="10"/>
        <v>4.3613</v>
      </c>
      <c r="Z67" s="7">
        <f t="shared" si="11"/>
        <v>4.5284580000000005</v>
      </c>
      <c r="AA67" s="139">
        <f t="shared" si="12"/>
        <v>6.6912704007023844</v>
      </c>
    </row>
    <row r="68" spans="1:27" s="11" customFormat="1" x14ac:dyDescent="0.25">
      <c r="A68" s="16" t="s">
        <v>435</v>
      </c>
      <c r="B68" s="11" t="s">
        <v>576</v>
      </c>
      <c r="C68" s="126" t="s">
        <v>660</v>
      </c>
      <c r="D68" s="4">
        <f>IF('Indicator Data'!D70="No data","x",IF('Indicator Data'!D70=0,0,IF(LOG('Indicator Data'!D70)&gt;D$149,10,IF(LOG('Indicator Data'!D70)&lt;D$150,0,10-(D$149-LOG('Indicator Data'!D70))/(D$149-D$150)*10))))</f>
        <v>6.7481174305300771</v>
      </c>
      <c r="E68" s="4">
        <f>IF('Indicator Data'!E70="No data","x",IF('Indicator Data'!E70=0,0,IF(LOG('Indicator Data'!E70)&gt;E$149,10,IF(LOG('Indicator Data'!E70)&lt;E$150,0,10-(E$149-LOG('Indicator Data'!E70))/(E$149-E$150)*10))))</f>
        <v>0</v>
      </c>
      <c r="F68" s="4">
        <f>IF('Indicator Data'!F70="No data","x",IF('Indicator Data'!F70=0,0,IF(LOG('Indicator Data'!F70)&gt;F$149,10,IF(LOG('Indicator Data'!F70)&lt;F$150,0,10-(F$149-LOG('Indicator Data'!F70))/(F$149-F$150)*10))))</f>
        <v>8.0404690380103716</v>
      </c>
      <c r="G68" s="135">
        <f t="shared" si="16"/>
        <v>2.0101172595025929</v>
      </c>
      <c r="H68" s="54">
        <f>IF('Indicator Data'!D70="No data","x",'Indicator Data'!D70/'Indicator Data'!AN70)</f>
        <v>0.51062097335929169</v>
      </c>
      <c r="I68" s="54">
        <f>IF('Indicator Data'!E70="No data","x",'Indicator Data'!E70/'Indicator Data'!$AN70)</f>
        <v>0</v>
      </c>
      <c r="J68" s="54">
        <f>IF('Indicator Data'!F70="No data","x",'Indicator Data'!F70/'Indicator Data'!$AN70)</f>
        <v>0.64372128651833904</v>
      </c>
      <c r="K68" s="4">
        <f t="shared" ref="K68:K131" si="22">IF(H68="x","x",IF(H68&gt;K$149,10,IF(H68&lt;K$150,0,10-(K$149-H68)/(K$149-K$150)*10)))</f>
        <v>10</v>
      </c>
      <c r="L68" s="4">
        <f t="shared" ref="L68:L131" si="23">IF(I68="x","x",IF(I68&gt;L$149,10,IF(I68&lt;L$150,0,10-(L$149-I68)/(L$149-L$150)*10)))</f>
        <v>0</v>
      </c>
      <c r="M68" s="4">
        <f t="shared" ref="M68:M131" si="24">IF(J68="x","x",IF(J68&gt;M$149,10,IF(J68&lt;M$150,0,10-(M$149-J68)/(M$149-M$150)*10)))</f>
        <v>10</v>
      </c>
      <c r="N68" s="135">
        <f t="shared" si="17"/>
        <v>2.5</v>
      </c>
      <c r="O68" s="6">
        <f t="shared" si="20"/>
        <v>8.9093457384609849</v>
      </c>
      <c r="P68" s="6">
        <f t="shared" si="21"/>
        <v>2.2584465812794274</v>
      </c>
      <c r="Q68" s="15">
        <f t="shared" ref="Q68:Q131" si="25">IF(AND(O68="x",P68="x"),"x",(10-GEOMEAN(((10-O68)/10*9+1),((10-P68)/10*9+1)))/9*10)</f>
        <v>6.6961943262247399</v>
      </c>
      <c r="R68" s="4">
        <f>IF(VLOOKUP($B68,'Indicator Data (national)'!$B$5:$H$14,6,FALSE)="No data","x",IF(VLOOKUP($B68,'Indicator Data (national)'!$B$5:$H$14,6,FALSE)&gt;R$149,10,IF(VLOOKUP($B68,'Indicator Data (national)'!$B$5:$H$14,6,FALSE)&lt;R$150,0,10-(R$149-VLOOKUP($B68,'Indicator Data (national)'!$B$5:$H$14,6,FALSE))/(R$149-R$150)*10)))</f>
        <v>9.5239467647379001</v>
      </c>
      <c r="S68" s="4">
        <f>IF(VLOOKUP($B68,'Indicator Data (national)'!$B$5:$H$14,7,FALSE)="No data","x",IF(VLOOKUP($B68,'Indicator Data (national)'!$B$5:$H$14,7,FALSE)&gt;S$149,10,IF(VLOOKUP($B68,'Indicator Data (national)'!$B$5:$H$14,7,FALSE)&lt;S$150,0,10-(S$149-VLOOKUP($B68,'Indicator Data (national)'!$B$5:$H$14,7,FALSE))/(S$149-S$150)*10)))</f>
        <v>6.420295095728985</v>
      </c>
      <c r="T68" s="138">
        <f t="shared" ref="T68:T131" si="26">(10-GEOMEAN(((10-R68)/10*9+1),((10-S68)/10*9+1)))/9*10</f>
        <v>8.3825408014047689</v>
      </c>
      <c r="U68" s="6">
        <f>IF('Indicator Data'!G70=5,10,IF('Indicator Data'!G70=4,8,IF('Indicator Data'!G70=3,5,IF('Indicator Data'!G70=2,2,IF('Indicator Data'!G70=1,1,0)))))</f>
        <v>0</v>
      </c>
      <c r="V68" s="4">
        <f>IF('Indicator Data'!H70="No data","x",IF('Indicator Data'!H70&gt;1000,10,IF('Indicator Data'!H70&gt;=500,9,IF('Indicator Data'!H70&gt;=240,8,IF('Indicator Data'!H70&gt;=120,7,IF('Indicator Data'!H70&gt;=60,6,IF('Indicator Data'!H70&gt;=20,5,IF('Indicator Data'!H70&gt;=10,4,IF('Indicator Data'!H70&gt;=5,3,0)))))))))</f>
        <v>4</v>
      </c>
      <c r="W68" s="6">
        <f t="shared" ref="W68:W131" si="27">IF(V68="x",U68,IF(V68&gt;U68,V68,U68))</f>
        <v>4</v>
      </c>
      <c r="X68" s="4">
        <f>IF('Indicator Data'!K70="No data","x",IF('Indicator Data'!K70&gt;X$149,0,IF('Indicator Data'!K70&lt;X$150,10,(X$149-'Indicator Data'!K70)/(X$149-X$150)*10)))</f>
        <v>3.6120000000000001</v>
      </c>
      <c r="Y68" s="6">
        <f t="shared" ref="Y68:Y131" si="28">AVERAGE(U68,X68)</f>
        <v>1.806</v>
      </c>
      <c r="Z68" s="7">
        <f t="shared" ref="Z68:Z131" si="29">IF(W68="x",Y68,(Y68*0.66)+(W68*0.33))</f>
        <v>2.5119600000000002</v>
      </c>
      <c r="AA68" s="139">
        <f t="shared" ref="AA68:AA131" si="30">IF(W68&gt;=8,W68,AVERAGE(T68,W68))</f>
        <v>6.1912704007023844</v>
      </c>
    </row>
    <row r="69" spans="1:27" s="11" customFormat="1" x14ac:dyDescent="0.25">
      <c r="A69" s="16" t="s">
        <v>436</v>
      </c>
      <c r="B69" s="11" t="s">
        <v>576</v>
      </c>
      <c r="C69" s="126" t="s">
        <v>661</v>
      </c>
      <c r="D69" s="4">
        <f>IF('Indicator Data'!D71="No data","x",IF('Indicator Data'!D71=0,0,IF(LOG('Indicator Data'!D71)&gt;D$149,10,IF(LOG('Indicator Data'!D71)&lt;D$150,0,10-(D$149-LOG('Indicator Data'!D71))/(D$149-D$150)*10))))</f>
        <v>7.154392669728872</v>
      </c>
      <c r="E69" s="4">
        <f>IF('Indicator Data'!E71="No data","x",IF('Indicator Data'!E71=0,0,IF(LOG('Indicator Data'!E71)&gt;E$149,10,IF(LOG('Indicator Data'!E71)&lt;E$150,0,10-(E$149-LOG('Indicator Data'!E71))/(E$149-E$150)*10))))</f>
        <v>7.9566055728960521</v>
      </c>
      <c r="F69" s="4">
        <f>IF('Indicator Data'!F71="No data","x",IF('Indicator Data'!F71=0,0,IF(LOG('Indicator Data'!F71)&gt;F$149,10,IF(LOG('Indicator Data'!F71)&lt;F$150,0,10-(F$149-LOG('Indicator Data'!F71))/(F$149-F$150)*10))))</f>
        <v>0</v>
      </c>
      <c r="G69" s="135">
        <f t="shared" si="16"/>
        <v>5.9674541796720391</v>
      </c>
      <c r="H69" s="54">
        <f>IF('Indicator Data'!D71="No data","x",'Indicator Data'!D71/'Indicator Data'!AN71)</f>
        <v>1.0034602178371126</v>
      </c>
      <c r="I69" s="54">
        <f>IF('Indicator Data'!E71="No data","x",'Indicator Data'!E71/'Indicator Data'!$AN71)</f>
        <v>0.58531362594976233</v>
      </c>
      <c r="J69" s="54">
        <f>IF('Indicator Data'!F71="No data","x",'Indicator Data'!F71/'Indicator Data'!$AN71)</f>
        <v>0</v>
      </c>
      <c r="K69" s="4">
        <f t="shared" si="22"/>
        <v>10</v>
      </c>
      <c r="L69" s="4">
        <f t="shared" si="23"/>
        <v>10</v>
      </c>
      <c r="M69" s="4">
        <f t="shared" si="24"/>
        <v>0</v>
      </c>
      <c r="N69" s="135">
        <f t="shared" si="17"/>
        <v>7.5</v>
      </c>
      <c r="O69" s="6">
        <f t="shared" si="20"/>
        <v>9.0143627180610437</v>
      </c>
      <c r="P69" s="6">
        <f t="shared" si="21"/>
        <v>6.8013179957906882</v>
      </c>
      <c r="Q69" s="15">
        <f t="shared" si="25"/>
        <v>8.1050253191007862</v>
      </c>
      <c r="R69" s="4">
        <f>IF(VLOOKUP($B69,'Indicator Data (national)'!$B$5:$H$14,6,FALSE)="No data","x",IF(VLOOKUP($B69,'Indicator Data (national)'!$B$5:$H$14,6,FALSE)&gt;R$149,10,IF(VLOOKUP($B69,'Indicator Data (national)'!$B$5:$H$14,6,FALSE)&lt;R$150,0,10-(R$149-VLOOKUP($B69,'Indicator Data (national)'!$B$5:$H$14,6,FALSE))/(R$149-R$150)*10)))</f>
        <v>9.5239467647379001</v>
      </c>
      <c r="S69" s="4">
        <f>IF(VLOOKUP($B69,'Indicator Data (national)'!$B$5:$H$14,7,FALSE)="No data","x",IF(VLOOKUP($B69,'Indicator Data (national)'!$B$5:$H$14,7,FALSE)&gt;S$149,10,IF(VLOOKUP($B69,'Indicator Data (national)'!$B$5:$H$14,7,FALSE)&lt;S$150,0,10-(S$149-VLOOKUP($B69,'Indicator Data (national)'!$B$5:$H$14,7,FALSE))/(S$149-S$150)*10)))</f>
        <v>6.420295095728985</v>
      </c>
      <c r="T69" s="138">
        <f t="shared" si="26"/>
        <v>8.3825408014047689</v>
      </c>
      <c r="U69" s="6">
        <f>IF('Indicator Data'!G71=5,10,IF('Indicator Data'!G71=4,8,IF('Indicator Data'!G71=3,5,IF('Indicator Data'!G71=2,2,IF('Indicator Data'!G71=1,1,0)))))</f>
        <v>8</v>
      </c>
      <c r="V69" s="4">
        <f>IF('Indicator Data'!H71="No data","x",IF('Indicator Data'!H71&gt;1000,10,IF('Indicator Data'!H71&gt;=500,9,IF('Indicator Data'!H71&gt;=240,8,IF('Indicator Data'!H71&gt;=120,7,IF('Indicator Data'!H71&gt;=60,6,IF('Indicator Data'!H71&gt;=20,5,IF('Indicator Data'!H71&gt;=10,4,IF('Indicator Data'!H71&gt;=5,3,0)))))))))</f>
        <v>6</v>
      </c>
      <c r="W69" s="6">
        <f t="shared" si="27"/>
        <v>8</v>
      </c>
      <c r="X69" s="4">
        <f>IF('Indicator Data'!K71="No data","x",IF('Indicator Data'!K71&gt;X$149,0,IF('Indicator Data'!K71&lt;X$150,10,(X$149-'Indicator Data'!K71)/(X$149-X$150)*10)))</f>
        <v>3.7088000000000001</v>
      </c>
      <c r="Y69" s="6">
        <f t="shared" si="28"/>
        <v>5.8544</v>
      </c>
      <c r="Z69" s="7">
        <f t="shared" si="29"/>
        <v>6.5039040000000004</v>
      </c>
      <c r="AA69" s="139">
        <f t="shared" si="30"/>
        <v>8</v>
      </c>
    </row>
    <row r="70" spans="1:27" s="11" customFormat="1" x14ac:dyDescent="0.25">
      <c r="A70" s="16" t="s">
        <v>437</v>
      </c>
      <c r="B70" s="11" t="s">
        <v>576</v>
      </c>
      <c r="C70" s="126" t="s">
        <v>662</v>
      </c>
      <c r="D70" s="4">
        <f>IF('Indicator Data'!D72="No data","x",IF('Indicator Data'!D72=0,0,IF(LOG('Indicator Data'!D72)&gt;D$149,10,IF(LOG('Indicator Data'!D72)&lt;D$150,0,10-(D$149-LOG('Indicator Data'!D72))/(D$149-D$150)*10))))</f>
        <v>5.6594238213096579</v>
      </c>
      <c r="E70" s="4">
        <f>IF('Indicator Data'!E72="No data","x",IF('Indicator Data'!E72=0,0,IF(LOG('Indicator Data'!E72)&gt;E$149,10,IF(LOG('Indicator Data'!E72)&lt;E$150,0,10-(E$149-LOG('Indicator Data'!E72))/(E$149-E$150)*10))))</f>
        <v>0</v>
      </c>
      <c r="F70" s="4">
        <f>IF('Indicator Data'!F72="No data","x",IF('Indicator Data'!F72=0,0,IF(LOG('Indicator Data'!F72)&gt;F$149,10,IF(LOG('Indicator Data'!F72)&lt;F$150,0,10-(F$149-LOG('Indicator Data'!F72))/(F$149-F$150)*10))))</f>
        <v>0</v>
      </c>
      <c r="G70" s="135">
        <f t="shared" si="16"/>
        <v>0</v>
      </c>
      <c r="H70" s="54">
        <f>IF('Indicator Data'!D72="No data","x",'Indicator Data'!D72/'Indicator Data'!AN72)</f>
        <v>8.4568551367331851E-2</v>
      </c>
      <c r="I70" s="54">
        <f>IF('Indicator Data'!E72="No data","x",'Indicator Data'!E72/'Indicator Data'!$AN72)</f>
        <v>0</v>
      </c>
      <c r="J70" s="54">
        <f>IF('Indicator Data'!F72="No data","x",'Indicator Data'!F72/'Indicator Data'!$AN72)</f>
        <v>9.2387287509238729E-7</v>
      </c>
      <c r="K70" s="4">
        <f t="shared" si="22"/>
        <v>4.2284275683665928</v>
      </c>
      <c r="L70" s="4">
        <f t="shared" si="23"/>
        <v>0</v>
      </c>
      <c r="M70" s="4">
        <f t="shared" si="24"/>
        <v>4.6193643754577352E-5</v>
      </c>
      <c r="N70" s="135">
        <f t="shared" si="17"/>
        <v>1.1548410938644338E-5</v>
      </c>
      <c r="O70" s="6">
        <f t="shared" si="20"/>
        <v>4.9855712663540857</v>
      </c>
      <c r="P70" s="6">
        <f t="shared" si="21"/>
        <v>5.7742069693568328E-6</v>
      </c>
      <c r="Q70" s="15">
        <f t="shared" si="25"/>
        <v>2.8611705985680795</v>
      </c>
      <c r="R70" s="4">
        <f>IF(VLOOKUP($B70,'Indicator Data (national)'!$B$5:$H$14,6,FALSE)="No data","x",IF(VLOOKUP($B70,'Indicator Data (national)'!$B$5:$H$14,6,FALSE)&gt;R$149,10,IF(VLOOKUP($B70,'Indicator Data (national)'!$B$5:$H$14,6,FALSE)&lt;R$150,0,10-(R$149-VLOOKUP($B70,'Indicator Data (national)'!$B$5:$H$14,6,FALSE))/(R$149-R$150)*10)))</f>
        <v>9.5239467647379001</v>
      </c>
      <c r="S70" s="4">
        <f>IF(VLOOKUP($B70,'Indicator Data (national)'!$B$5:$H$14,7,FALSE)="No data","x",IF(VLOOKUP($B70,'Indicator Data (national)'!$B$5:$H$14,7,FALSE)&gt;S$149,10,IF(VLOOKUP($B70,'Indicator Data (national)'!$B$5:$H$14,7,FALSE)&lt;S$150,0,10-(S$149-VLOOKUP($B70,'Indicator Data (national)'!$B$5:$H$14,7,FALSE))/(S$149-S$150)*10)))</f>
        <v>6.420295095728985</v>
      </c>
      <c r="T70" s="138">
        <f t="shared" si="26"/>
        <v>8.3825408014047689</v>
      </c>
      <c r="U70" s="6">
        <f>IF('Indicator Data'!G72=5,10,IF('Indicator Data'!G72=4,8,IF('Indicator Data'!G72=3,5,IF('Indicator Data'!G72=2,2,IF('Indicator Data'!G72=1,1,0)))))</f>
        <v>5</v>
      </c>
      <c r="V70" s="4">
        <f>IF('Indicator Data'!H72="No data","x",IF('Indicator Data'!H72&gt;1000,10,IF('Indicator Data'!H72&gt;=500,9,IF('Indicator Data'!H72&gt;=240,8,IF('Indicator Data'!H72&gt;=120,7,IF('Indicator Data'!H72&gt;=60,6,IF('Indicator Data'!H72&gt;=20,5,IF('Indicator Data'!H72&gt;=10,4,IF('Indicator Data'!H72&gt;=5,3,0)))))))))</f>
        <v>3</v>
      </c>
      <c r="W70" s="6">
        <f t="shared" si="27"/>
        <v>5</v>
      </c>
      <c r="X70" s="4">
        <f>IF('Indicator Data'!K72="No data","x",IF('Indicator Data'!K72&gt;X$149,0,IF('Indicator Data'!K72&lt;X$150,10,(X$149-'Indicator Data'!K72)/(X$149-X$150)*10)))</f>
        <v>3.8693999999999997</v>
      </c>
      <c r="Y70" s="6">
        <f t="shared" si="28"/>
        <v>4.4346999999999994</v>
      </c>
      <c r="Z70" s="7">
        <f t="shared" si="29"/>
        <v>4.5769019999999996</v>
      </c>
      <c r="AA70" s="139">
        <f t="shared" si="30"/>
        <v>6.6912704007023844</v>
      </c>
    </row>
    <row r="71" spans="1:27" s="11" customFormat="1" x14ac:dyDescent="0.25">
      <c r="A71" s="16" t="s">
        <v>438</v>
      </c>
      <c r="B71" s="11" t="s">
        <v>576</v>
      </c>
      <c r="C71" s="126" t="s">
        <v>663</v>
      </c>
      <c r="D71" s="4">
        <f>IF('Indicator Data'!D73="No data","x",IF('Indicator Data'!D73=0,0,IF(LOG('Indicator Data'!D73)&gt;D$149,10,IF(LOG('Indicator Data'!D73)&lt;D$150,0,10-(D$149-LOG('Indicator Data'!D73))/(D$149-D$150)*10))))</f>
        <v>5.6384763657462313</v>
      </c>
      <c r="E71" s="4">
        <f>IF('Indicator Data'!E73="No data","x",IF('Indicator Data'!E73=0,0,IF(LOG('Indicator Data'!E73)&gt;E$149,10,IF(LOG('Indicator Data'!E73)&lt;E$150,0,10-(E$149-LOG('Indicator Data'!E73))/(E$149-E$150)*10))))</f>
        <v>0</v>
      </c>
      <c r="F71" s="4">
        <f>IF('Indicator Data'!F73="No data","x",IF('Indicator Data'!F73=0,0,IF(LOG('Indicator Data'!F73)&gt;F$149,10,IF(LOG('Indicator Data'!F73)&lt;F$150,0,10-(F$149-LOG('Indicator Data'!F73))/(F$149-F$150)*10))))</f>
        <v>5.9871093441879486</v>
      </c>
      <c r="G71" s="135">
        <f t="shared" si="16"/>
        <v>1.4967773360469872</v>
      </c>
      <c r="H71" s="54">
        <f>IF('Indicator Data'!D73="No data","x",'Indicator Data'!D73/'Indicator Data'!AN73)</f>
        <v>2.4287555790599762E-2</v>
      </c>
      <c r="I71" s="54">
        <f>IF('Indicator Data'!E73="No data","x",'Indicator Data'!E73/'Indicator Data'!$AN73)</f>
        <v>0</v>
      </c>
      <c r="J71" s="54">
        <f>IF('Indicator Data'!F73="No data","x",'Indicator Data'!F73/'Indicator Data'!$AN73)</f>
        <v>1.0732872289303436E-2</v>
      </c>
      <c r="K71" s="4">
        <f t="shared" si="22"/>
        <v>1.214377789529987</v>
      </c>
      <c r="L71" s="4">
        <f t="shared" si="23"/>
        <v>0</v>
      </c>
      <c r="M71" s="4">
        <f t="shared" si="24"/>
        <v>0.53664361446517184</v>
      </c>
      <c r="N71" s="135">
        <f t="shared" si="17"/>
        <v>0.13416090361629296</v>
      </c>
      <c r="O71" s="6">
        <f t="shared" si="20"/>
        <v>3.7516813341993682</v>
      </c>
      <c r="P71" s="6">
        <f t="shared" si="21"/>
        <v>0.83803644346099271</v>
      </c>
      <c r="Q71" s="15">
        <f t="shared" si="25"/>
        <v>2.4160566771502752</v>
      </c>
      <c r="R71" s="4">
        <f>IF(VLOOKUP($B71,'Indicator Data (national)'!$B$5:$H$14,6,FALSE)="No data","x",IF(VLOOKUP($B71,'Indicator Data (national)'!$B$5:$H$14,6,FALSE)&gt;R$149,10,IF(VLOOKUP($B71,'Indicator Data (national)'!$B$5:$H$14,6,FALSE)&lt;R$150,0,10-(R$149-VLOOKUP($B71,'Indicator Data (national)'!$B$5:$H$14,6,FALSE))/(R$149-R$150)*10)))</f>
        <v>9.5239467647379001</v>
      </c>
      <c r="S71" s="4">
        <f>IF(VLOOKUP($B71,'Indicator Data (national)'!$B$5:$H$14,7,FALSE)="No data","x",IF(VLOOKUP($B71,'Indicator Data (national)'!$B$5:$H$14,7,FALSE)&gt;S$149,10,IF(VLOOKUP($B71,'Indicator Data (national)'!$B$5:$H$14,7,FALSE)&lt;S$150,0,10-(S$149-VLOOKUP($B71,'Indicator Data (national)'!$B$5:$H$14,7,FALSE))/(S$149-S$150)*10)))</f>
        <v>6.420295095728985</v>
      </c>
      <c r="T71" s="138">
        <f t="shared" si="26"/>
        <v>8.3825408014047689</v>
      </c>
      <c r="U71" s="6">
        <f>IF('Indicator Data'!G73=5,10,IF('Indicator Data'!G73=4,8,IF('Indicator Data'!G73=3,5,IF('Indicator Data'!G73=2,2,IF('Indicator Data'!G73=1,1,0)))))</f>
        <v>5</v>
      </c>
      <c r="V71" s="4">
        <f>IF('Indicator Data'!H73="No data","x",IF('Indicator Data'!H73&gt;1000,10,IF('Indicator Data'!H73&gt;=500,9,IF('Indicator Data'!H73&gt;=240,8,IF('Indicator Data'!H73&gt;=120,7,IF('Indicator Data'!H73&gt;=60,6,IF('Indicator Data'!H73&gt;=20,5,IF('Indicator Data'!H73&gt;=10,4,IF('Indicator Data'!H73&gt;=5,3,0)))))))))</f>
        <v>7</v>
      </c>
      <c r="W71" s="6">
        <f t="shared" si="27"/>
        <v>7</v>
      </c>
      <c r="X71" s="4">
        <f>IF('Indicator Data'!K73="No data","x",IF('Indicator Data'!K73&gt;X$149,0,IF('Indicator Data'!K73&lt;X$150,10,(X$149-'Indicator Data'!K73)/(X$149-X$150)*10)))</f>
        <v>3.7682000000000002</v>
      </c>
      <c r="Y71" s="6">
        <f t="shared" si="28"/>
        <v>4.3841000000000001</v>
      </c>
      <c r="Z71" s="7">
        <f t="shared" si="29"/>
        <v>5.2035060000000009</v>
      </c>
      <c r="AA71" s="139">
        <f t="shared" si="30"/>
        <v>7.6912704007023844</v>
      </c>
    </row>
    <row r="72" spans="1:27" s="11" customFormat="1" x14ac:dyDescent="0.25">
      <c r="A72" s="16" t="s">
        <v>439</v>
      </c>
      <c r="B72" s="11" t="s">
        <v>576</v>
      </c>
      <c r="C72" s="126" t="s">
        <v>664</v>
      </c>
      <c r="D72" s="4">
        <f>IF('Indicator Data'!D74="No data","x",IF('Indicator Data'!D74=0,0,IF(LOG('Indicator Data'!D74)&gt;D$149,10,IF(LOG('Indicator Data'!D74)&lt;D$150,0,10-(D$149-LOG('Indicator Data'!D74))/(D$149-D$150)*10))))</f>
        <v>5.9828448876706721</v>
      </c>
      <c r="E72" s="4">
        <f>IF('Indicator Data'!E74="No data","x",IF('Indicator Data'!E74=0,0,IF(LOG('Indicator Data'!E74)&gt;E$149,10,IF(LOG('Indicator Data'!E74)&lt;E$150,0,10-(E$149-LOG('Indicator Data'!E74))/(E$149-E$150)*10))))</f>
        <v>0</v>
      </c>
      <c r="F72" s="4">
        <f>IF('Indicator Data'!F74="No data","x",IF('Indicator Data'!F74=0,0,IF(LOG('Indicator Data'!F74)&gt;F$149,10,IF(LOG('Indicator Data'!F74)&lt;F$150,0,10-(F$149-LOG('Indicator Data'!F74))/(F$149-F$150)*10))))</f>
        <v>6.6117136611368625</v>
      </c>
      <c r="G72" s="135">
        <f t="shared" si="16"/>
        <v>1.6529284152842156</v>
      </c>
      <c r="H72" s="54">
        <f>IF('Indicator Data'!D74="No data","x",'Indicator Data'!D74/'Indicator Data'!AN74)</f>
        <v>8.4592895967972925E-2</v>
      </c>
      <c r="I72" s="54">
        <f>IF('Indicator Data'!E74="No data","x",'Indicator Data'!E74/'Indicator Data'!$AN74)</f>
        <v>0</v>
      </c>
      <c r="J72" s="54">
        <f>IF('Indicator Data'!F74="No data","x",'Indicator Data'!F74/'Indicator Data'!$AN74)</f>
        <v>5.0859333932524099E-2</v>
      </c>
      <c r="K72" s="4">
        <f t="shared" si="22"/>
        <v>4.2296447983986463</v>
      </c>
      <c r="L72" s="4">
        <f t="shared" si="23"/>
        <v>0</v>
      </c>
      <c r="M72" s="4">
        <f t="shared" si="24"/>
        <v>2.5429666966262046</v>
      </c>
      <c r="N72" s="135">
        <f t="shared" si="17"/>
        <v>0.63574167415655114</v>
      </c>
      <c r="O72" s="6">
        <f t="shared" si="20"/>
        <v>5.170573150688119</v>
      </c>
      <c r="P72" s="6">
        <f t="shared" si="21"/>
        <v>1.1573199770256872</v>
      </c>
      <c r="Q72" s="15">
        <f t="shared" si="25"/>
        <v>3.421450905214086</v>
      </c>
      <c r="R72" s="4">
        <f>IF(VLOOKUP($B72,'Indicator Data (national)'!$B$5:$H$14,6,FALSE)="No data","x",IF(VLOOKUP($B72,'Indicator Data (national)'!$B$5:$H$14,6,FALSE)&gt;R$149,10,IF(VLOOKUP($B72,'Indicator Data (national)'!$B$5:$H$14,6,FALSE)&lt;R$150,0,10-(R$149-VLOOKUP($B72,'Indicator Data (national)'!$B$5:$H$14,6,FALSE))/(R$149-R$150)*10)))</f>
        <v>9.5239467647379001</v>
      </c>
      <c r="S72" s="4">
        <f>IF(VLOOKUP($B72,'Indicator Data (national)'!$B$5:$H$14,7,FALSE)="No data","x",IF(VLOOKUP($B72,'Indicator Data (national)'!$B$5:$H$14,7,FALSE)&gt;S$149,10,IF(VLOOKUP($B72,'Indicator Data (national)'!$B$5:$H$14,7,FALSE)&lt;S$150,0,10-(S$149-VLOOKUP($B72,'Indicator Data (national)'!$B$5:$H$14,7,FALSE))/(S$149-S$150)*10)))</f>
        <v>6.420295095728985</v>
      </c>
      <c r="T72" s="138">
        <f t="shared" si="26"/>
        <v>8.3825408014047689</v>
      </c>
      <c r="U72" s="6">
        <f>IF('Indicator Data'!G74=5,10,IF('Indicator Data'!G74=4,8,IF('Indicator Data'!G74=3,5,IF('Indicator Data'!G74=2,2,IF('Indicator Data'!G74=1,1,0)))))</f>
        <v>8</v>
      </c>
      <c r="V72" s="4">
        <f>IF('Indicator Data'!H74="No data","x",IF('Indicator Data'!H74&gt;1000,10,IF('Indicator Data'!H74&gt;=500,9,IF('Indicator Data'!H74&gt;=240,8,IF('Indicator Data'!H74&gt;=120,7,IF('Indicator Data'!H74&gt;=60,6,IF('Indicator Data'!H74&gt;=20,5,IF('Indicator Data'!H74&gt;=10,4,IF('Indicator Data'!H74&gt;=5,3,0)))))))))</f>
        <v>4</v>
      </c>
      <c r="W72" s="6">
        <f t="shared" si="27"/>
        <v>8</v>
      </c>
      <c r="X72" s="4">
        <f>IF('Indicator Data'!K74="No data","x",IF('Indicator Data'!K74&gt;X$149,0,IF('Indicator Data'!K74&lt;X$150,10,(X$149-'Indicator Data'!K74)/(X$149-X$150)*10)))</f>
        <v>3.7118000000000002</v>
      </c>
      <c r="Y72" s="6">
        <f t="shared" si="28"/>
        <v>5.8559000000000001</v>
      </c>
      <c r="Z72" s="7">
        <f t="shared" si="29"/>
        <v>6.5048940000000002</v>
      </c>
      <c r="AA72" s="139">
        <f t="shared" si="30"/>
        <v>8</v>
      </c>
    </row>
    <row r="73" spans="1:27" s="11" customFormat="1" x14ac:dyDescent="0.25">
      <c r="A73" s="16" t="s">
        <v>440</v>
      </c>
      <c r="B73" s="11" t="s">
        <v>576</v>
      </c>
      <c r="C73" s="126" t="s">
        <v>665</v>
      </c>
      <c r="D73" s="4">
        <f>IF('Indicator Data'!D75="No data","x",IF('Indicator Data'!D75=0,0,IF(LOG('Indicator Data'!D75)&gt;D$149,10,IF(LOG('Indicator Data'!D75)&lt;D$150,0,10-(D$149-LOG('Indicator Data'!D75))/(D$149-D$150)*10))))</f>
        <v>5.7891394908191653</v>
      </c>
      <c r="E73" s="4">
        <f>IF('Indicator Data'!E75="No data","x",IF('Indicator Data'!E75=0,0,IF(LOG('Indicator Data'!E75)&gt;E$149,10,IF(LOG('Indicator Data'!E75)&lt;E$150,0,10-(E$149-LOG('Indicator Data'!E75))/(E$149-E$150)*10))))</f>
        <v>0</v>
      </c>
      <c r="F73" s="4">
        <f>IF('Indicator Data'!F75="No data","x",IF('Indicator Data'!F75=0,0,IF(LOG('Indicator Data'!F75)&gt;F$149,10,IF(LOG('Indicator Data'!F75)&lt;F$150,0,10-(F$149-LOG('Indicator Data'!F75))/(F$149-F$150)*10))))</f>
        <v>5.7659054304673552</v>
      </c>
      <c r="G73" s="135">
        <f t="shared" si="16"/>
        <v>1.4414763576168388</v>
      </c>
      <c r="H73" s="54">
        <f>IF('Indicator Data'!D75="No data","x",'Indicator Data'!D75/'Indicator Data'!AN75)</f>
        <v>0.1320180247436529</v>
      </c>
      <c r="I73" s="54">
        <f>IF('Indicator Data'!E75="No data","x",'Indicator Data'!E75/'Indicator Data'!$AN75)</f>
        <v>0</v>
      </c>
      <c r="J73" s="54">
        <f>IF('Indicator Data'!F75="No data","x",'Indicator Data'!F75/'Indicator Data'!$AN75)</f>
        <v>3.371155963646278E-2</v>
      </c>
      <c r="K73" s="4">
        <f t="shared" si="22"/>
        <v>6.6009012371826445</v>
      </c>
      <c r="L73" s="4">
        <f t="shared" si="23"/>
        <v>0</v>
      </c>
      <c r="M73" s="4">
        <f t="shared" si="24"/>
        <v>1.6855779818231387</v>
      </c>
      <c r="N73" s="135">
        <f t="shared" si="17"/>
        <v>0.42139449545578467</v>
      </c>
      <c r="O73" s="6">
        <f t="shared" si="20"/>
        <v>6.2118041243416746</v>
      </c>
      <c r="P73" s="6">
        <f t="shared" si="21"/>
        <v>0.94422096260719868</v>
      </c>
      <c r="Q73" s="15">
        <f t="shared" si="25"/>
        <v>4.0534403949128439</v>
      </c>
      <c r="R73" s="4">
        <f>IF(VLOOKUP($B73,'Indicator Data (national)'!$B$5:$H$14,6,FALSE)="No data","x",IF(VLOOKUP($B73,'Indicator Data (national)'!$B$5:$H$14,6,FALSE)&gt;R$149,10,IF(VLOOKUP($B73,'Indicator Data (national)'!$B$5:$H$14,6,FALSE)&lt;R$150,0,10-(R$149-VLOOKUP($B73,'Indicator Data (national)'!$B$5:$H$14,6,FALSE))/(R$149-R$150)*10)))</f>
        <v>9.5239467647379001</v>
      </c>
      <c r="S73" s="4">
        <f>IF(VLOOKUP($B73,'Indicator Data (national)'!$B$5:$H$14,7,FALSE)="No data","x",IF(VLOOKUP($B73,'Indicator Data (national)'!$B$5:$H$14,7,FALSE)&gt;S$149,10,IF(VLOOKUP($B73,'Indicator Data (national)'!$B$5:$H$14,7,FALSE)&lt;S$150,0,10-(S$149-VLOOKUP($B73,'Indicator Data (national)'!$B$5:$H$14,7,FALSE))/(S$149-S$150)*10)))</f>
        <v>6.420295095728985</v>
      </c>
      <c r="T73" s="138">
        <f t="shared" si="26"/>
        <v>8.3825408014047689</v>
      </c>
      <c r="U73" s="6">
        <f>IF('Indicator Data'!G75=5,10,IF('Indicator Data'!G75=4,8,IF('Indicator Data'!G75=3,5,IF('Indicator Data'!G75=2,2,IF('Indicator Data'!G75=1,1,0)))))</f>
        <v>8</v>
      </c>
      <c r="V73" s="4">
        <f>IF('Indicator Data'!H75="No data","x",IF('Indicator Data'!H75&gt;1000,10,IF('Indicator Data'!H75&gt;=500,9,IF('Indicator Data'!H75&gt;=240,8,IF('Indicator Data'!H75&gt;=120,7,IF('Indicator Data'!H75&gt;=60,6,IF('Indicator Data'!H75&gt;=20,5,IF('Indicator Data'!H75&gt;=10,4,IF('Indicator Data'!H75&gt;=5,3,0)))))))))</f>
        <v>0</v>
      </c>
      <c r="W73" s="6">
        <f t="shared" si="27"/>
        <v>8</v>
      </c>
      <c r="X73" s="4">
        <f>IF('Indicator Data'!K75="No data","x",IF('Indicator Data'!K75&gt;X$149,0,IF('Indicator Data'!K75&lt;X$150,10,(X$149-'Indicator Data'!K75)/(X$149-X$150)*10)))</f>
        <v>3.6958000000000002</v>
      </c>
      <c r="Y73" s="6">
        <f t="shared" si="28"/>
        <v>5.8479000000000001</v>
      </c>
      <c r="Z73" s="7">
        <f t="shared" si="29"/>
        <v>6.4996140000000002</v>
      </c>
      <c r="AA73" s="139">
        <f t="shared" si="30"/>
        <v>8</v>
      </c>
    </row>
    <row r="74" spans="1:27" s="11" customFormat="1" x14ac:dyDescent="0.25">
      <c r="A74" s="16" t="s">
        <v>441</v>
      </c>
      <c r="B74" s="11" t="s">
        <v>576</v>
      </c>
      <c r="C74" s="126" t="s">
        <v>666</v>
      </c>
      <c r="D74" s="4">
        <f>IF('Indicator Data'!D76="No data","x",IF('Indicator Data'!D76=0,0,IF(LOG('Indicator Data'!D76)&gt;D$149,10,IF(LOG('Indicator Data'!D76)&lt;D$150,0,10-(D$149-LOG('Indicator Data'!D76))/(D$149-D$150)*10))))</f>
        <v>5.6923104474810691</v>
      </c>
      <c r="E74" s="4">
        <f>IF('Indicator Data'!E76="No data","x",IF('Indicator Data'!E76=0,0,IF(LOG('Indicator Data'!E76)&gt;E$149,10,IF(LOG('Indicator Data'!E76)&lt;E$150,0,10-(E$149-LOG('Indicator Data'!E76))/(E$149-E$150)*10))))</f>
        <v>0</v>
      </c>
      <c r="F74" s="4">
        <f>IF('Indicator Data'!F76="No data","x",IF('Indicator Data'!F76=0,0,IF(LOG('Indicator Data'!F76)&gt;F$149,10,IF(LOG('Indicator Data'!F76)&lt;F$150,0,10-(F$149-LOG('Indicator Data'!F76))/(F$149-F$150)*10))))</f>
        <v>8.0123633046468399</v>
      </c>
      <c r="G74" s="135">
        <f t="shared" si="16"/>
        <v>2.00309082616171</v>
      </c>
      <c r="H74" s="54">
        <f>IF('Indicator Data'!D76="No data","x",'Indicator Data'!D76/'Indicator Data'!AN76)</f>
        <v>9.884908207177516E-2</v>
      </c>
      <c r="I74" s="54">
        <f>IF('Indicator Data'!E76="No data","x",'Indicator Data'!E76/'Indicator Data'!$AN76)</f>
        <v>0</v>
      </c>
      <c r="J74" s="54">
        <f>IF('Indicator Data'!F76="No data","x",'Indicator Data'!F76/'Indicator Data'!$AN76)</f>
        <v>0.65731464772980974</v>
      </c>
      <c r="K74" s="4">
        <f t="shared" si="22"/>
        <v>4.9424541035887586</v>
      </c>
      <c r="L74" s="4">
        <f t="shared" si="23"/>
        <v>0</v>
      </c>
      <c r="M74" s="4">
        <f t="shared" si="24"/>
        <v>10</v>
      </c>
      <c r="N74" s="135">
        <f t="shared" si="17"/>
        <v>2.5</v>
      </c>
      <c r="O74" s="6">
        <f t="shared" si="20"/>
        <v>5.3295263209287311</v>
      </c>
      <c r="P74" s="6">
        <f t="shared" si="21"/>
        <v>2.2550298854248201</v>
      </c>
      <c r="Q74" s="15">
        <f t="shared" si="25"/>
        <v>3.9555409371104688</v>
      </c>
      <c r="R74" s="4">
        <f>IF(VLOOKUP($B74,'Indicator Data (national)'!$B$5:$H$14,6,FALSE)="No data","x",IF(VLOOKUP($B74,'Indicator Data (national)'!$B$5:$H$14,6,FALSE)&gt;R$149,10,IF(VLOOKUP($B74,'Indicator Data (national)'!$B$5:$H$14,6,FALSE)&lt;R$150,0,10-(R$149-VLOOKUP($B74,'Indicator Data (national)'!$B$5:$H$14,6,FALSE))/(R$149-R$150)*10)))</f>
        <v>9.5239467647379001</v>
      </c>
      <c r="S74" s="4">
        <f>IF(VLOOKUP($B74,'Indicator Data (national)'!$B$5:$H$14,7,FALSE)="No data","x",IF(VLOOKUP($B74,'Indicator Data (national)'!$B$5:$H$14,7,FALSE)&gt;S$149,10,IF(VLOOKUP($B74,'Indicator Data (national)'!$B$5:$H$14,7,FALSE)&lt;S$150,0,10-(S$149-VLOOKUP($B74,'Indicator Data (national)'!$B$5:$H$14,7,FALSE))/(S$149-S$150)*10)))</f>
        <v>6.420295095728985</v>
      </c>
      <c r="T74" s="138">
        <f t="shared" si="26"/>
        <v>8.3825408014047689</v>
      </c>
      <c r="U74" s="6">
        <f>IF('Indicator Data'!G76=5,10,IF('Indicator Data'!G76=4,8,IF('Indicator Data'!G76=3,5,IF('Indicator Data'!G76=2,2,IF('Indicator Data'!G76=1,1,0)))))</f>
        <v>8</v>
      </c>
      <c r="V74" s="4">
        <f>IF('Indicator Data'!H76="No data","x",IF('Indicator Data'!H76&gt;1000,10,IF('Indicator Data'!H76&gt;=500,9,IF('Indicator Data'!H76&gt;=240,8,IF('Indicator Data'!H76&gt;=120,7,IF('Indicator Data'!H76&gt;=60,6,IF('Indicator Data'!H76&gt;=20,5,IF('Indicator Data'!H76&gt;=10,4,IF('Indicator Data'!H76&gt;=5,3,0)))))))))</f>
        <v>5</v>
      </c>
      <c r="W74" s="6">
        <f t="shared" si="27"/>
        <v>8</v>
      </c>
      <c r="X74" s="4">
        <f>IF('Indicator Data'!K76="No data","x",IF('Indicator Data'!K76&gt;X$149,0,IF('Indicator Data'!K76&lt;X$150,10,(X$149-'Indicator Data'!K76)/(X$149-X$150)*10)))</f>
        <v>3.6916000000000002</v>
      </c>
      <c r="Y74" s="6">
        <f t="shared" si="28"/>
        <v>5.8458000000000006</v>
      </c>
      <c r="Z74" s="7">
        <f t="shared" si="29"/>
        <v>6.498228000000001</v>
      </c>
      <c r="AA74" s="139">
        <f t="shared" si="30"/>
        <v>8</v>
      </c>
    </row>
    <row r="75" spans="1:27" s="11" customFormat="1" x14ac:dyDescent="0.25">
      <c r="A75" s="16" t="s">
        <v>442</v>
      </c>
      <c r="B75" s="11" t="s">
        <v>576</v>
      </c>
      <c r="C75" s="126" t="s">
        <v>667</v>
      </c>
      <c r="D75" s="4">
        <f>IF('Indicator Data'!D77="No data","x",IF('Indicator Data'!D77=0,0,IF(LOG('Indicator Data'!D77)&gt;D$149,10,IF(LOG('Indicator Data'!D77)&lt;D$150,0,10-(D$149-LOG('Indicator Data'!D77))/(D$149-D$150)*10))))</f>
        <v>5.7192231765873318</v>
      </c>
      <c r="E75" s="4">
        <f>IF('Indicator Data'!E77="No data","x",IF('Indicator Data'!E77=0,0,IF(LOG('Indicator Data'!E77)&gt;E$149,10,IF(LOG('Indicator Data'!E77)&lt;E$150,0,10-(E$149-LOG('Indicator Data'!E77))/(E$149-E$150)*10))))</f>
        <v>0</v>
      </c>
      <c r="F75" s="4">
        <f>IF('Indicator Data'!F77="No data","x",IF('Indicator Data'!F77=0,0,IF(LOG('Indicator Data'!F77)&gt;F$149,10,IF(LOG('Indicator Data'!F77)&lt;F$150,0,10-(F$149-LOG('Indicator Data'!F77))/(F$149-F$150)*10))))</f>
        <v>4.977430354562177</v>
      </c>
      <c r="G75" s="135">
        <f t="shared" si="16"/>
        <v>1.2443575886405442</v>
      </c>
      <c r="H75" s="54">
        <f>IF('Indicator Data'!D77="No data","x",'Indicator Data'!D77/'Indicator Data'!AN77)</f>
        <v>0.14935486356416397</v>
      </c>
      <c r="I75" s="54">
        <f>IF('Indicator Data'!E77="No data","x",'Indicator Data'!E77/'Indicator Data'!$AN77)</f>
        <v>0</v>
      </c>
      <c r="J75" s="54">
        <f>IF('Indicator Data'!F77="No data","x",'Indicator Data'!F77/'Indicator Data'!$AN77)</f>
        <v>1.4362212844645693E-2</v>
      </c>
      <c r="K75" s="4">
        <f t="shared" si="22"/>
        <v>7.467743178208198</v>
      </c>
      <c r="L75" s="4">
        <f t="shared" si="23"/>
        <v>0</v>
      </c>
      <c r="M75" s="4">
        <f t="shared" si="24"/>
        <v>0.71811064223228449</v>
      </c>
      <c r="N75" s="135">
        <f t="shared" si="17"/>
        <v>0.17952766055807112</v>
      </c>
      <c r="O75" s="6">
        <f t="shared" si="20"/>
        <v>6.6788846279031455</v>
      </c>
      <c r="P75" s="6">
        <f t="shared" si="21"/>
        <v>0.72558081569888422</v>
      </c>
      <c r="Q75" s="15">
        <f t="shared" si="25"/>
        <v>4.3264945104854924</v>
      </c>
      <c r="R75" s="4">
        <f>IF(VLOOKUP($B75,'Indicator Data (national)'!$B$5:$H$14,6,FALSE)="No data","x",IF(VLOOKUP($B75,'Indicator Data (national)'!$B$5:$H$14,6,FALSE)&gt;R$149,10,IF(VLOOKUP($B75,'Indicator Data (national)'!$B$5:$H$14,6,FALSE)&lt;R$150,0,10-(R$149-VLOOKUP($B75,'Indicator Data (national)'!$B$5:$H$14,6,FALSE))/(R$149-R$150)*10)))</f>
        <v>9.5239467647379001</v>
      </c>
      <c r="S75" s="4">
        <f>IF(VLOOKUP($B75,'Indicator Data (national)'!$B$5:$H$14,7,FALSE)="No data","x",IF(VLOOKUP($B75,'Indicator Data (national)'!$B$5:$H$14,7,FALSE)&gt;S$149,10,IF(VLOOKUP($B75,'Indicator Data (national)'!$B$5:$H$14,7,FALSE)&lt;S$150,0,10-(S$149-VLOOKUP($B75,'Indicator Data (national)'!$B$5:$H$14,7,FALSE))/(S$149-S$150)*10)))</f>
        <v>6.420295095728985</v>
      </c>
      <c r="T75" s="138">
        <f t="shared" si="26"/>
        <v>8.3825408014047689</v>
      </c>
      <c r="U75" s="6">
        <f>IF('Indicator Data'!G77=5,10,IF('Indicator Data'!G77=4,8,IF('Indicator Data'!G77=3,5,IF('Indicator Data'!G77=2,2,IF('Indicator Data'!G77=1,1,0)))))</f>
        <v>0</v>
      </c>
      <c r="V75" s="4">
        <f>IF('Indicator Data'!H77="No data","x",IF('Indicator Data'!H77&gt;1000,10,IF('Indicator Data'!H77&gt;=500,9,IF('Indicator Data'!H77&gt;=240,8,IF('Indicator Data'!H77&gt;=120,7,IF('Indicator Data'!H77&gt;=60,6,IF('Indicator Data'!H77&gt;=20,5,IF('Indicator Data'!H77&gt;=10,4,IF('Indicator Data'!H77&gt;=5,3,0)))))))))</f>
        <v>0</v>
      </c>
      <c r="W75" s="6">
        <f t="shared" si="27"/>
        <v>0</v>
      </c>
      <c r="X75" s="4">
        <f>IF('Indicator Data'!K77="No data","x",IF('Indicator Data'!K77&gt;X$149,0,IF('Indicator Data'!K77&lt;X$150,10,(X$149-'Indicator Data'!K77)/(X$149-X$150)*10)))</f>
        <v>3.7068000000000003</v>
      </c>
      <c r="Y75" s="6">
        <f t="shared" si="28"/>
        <v>1.8534000000000002</v>
      </c>
      <c r="Z75" s="7">
        <f t="shared" si="29"/>
        <v>1.2232440000000002</v>
      </c>
      <c r="AA75" s="139">
        <f t="shared" si="30"/>
        <v>4.1912704007023844</v>
      </c>
    </row>
    <row r="76" spans="1:27" s="11" customFormat="1" x14ac:dyDescent="0.25">
      <c r="A76" s="16" t="s">
        <v>443</v>
      </c>
      <c r="B76" s="11" t="s">
        <v>576</v>
      </c>
      <c r="C76" s="126" t="s">
        <v>668</v>
      </c>
      <c r="D76" s="4">
        <f>IF('Indicator Data'!D78="No data","x",IF('Indicator Data'!D78=0,0,IF(LOG('Indicator Data'!D78)&gt;D$149,10,IF(LOG('Indicator Data'!D78)&lt;D$150,0,10-(D$149-LOG('Indicator Data'!D78))/(D$149-D$150)*10))))</f>
        <v>4.624918850536373</v>
      </c>
      <c r="E76" s="4">
        <f>IF('Indicator Data'!E78="No data","x",IF('Indicator Data'!E78=0,0,IF(LOG('Indicator Data'!E78)&gt;E$149,10,IF(LOG('Indicator Data'!E78)&lt;E$150,0,10-(E$149-LOG('Indicator Data'!E78))/(E$149-E$150)*10))))</f>
        <v>0</v>
      </c>
      <c r="F76" s="4">
        <f>IF('Indicator Data'!F78="No data","x",IF('Indicator Data'!F78=0,0,IF(LOG('Indicator Data'!F78)&gt;F$149,10,IF(LOG('Indicator Data'!F78)&lt;F$150,0,10-(F$149-LOG('Indicator Data'!F78))/(F$149-F$150)*10))))</f>
        <v>5.0929977658874677</v>
      </c>
      <c r="G76" s="135">
        <f t="shared" si="16"/>
        <v>1.2732494414718669</v>
      </c>
      <c r="H76" s="54">
        <f>IF('Indicator Data'!D78="No data","x",'Indicator Data'!D78/'Indicator Data'!AN78)</f>
        <v>2.3916152262662367E-2</v>
      </c>
      <c r="I76" s="54">
        <f>IF('Indicator Data'!E78="No data","x",'Indicator Data'!E78/'Indicator Data'!$AN78)</f>
        <v>0</v>
      </c>
      <c r="J76" s="54">
        <f>IF('Indicator Data'!F78="No data","x",'Indicator Data'!F78/'Indicator Data'!$AN78)</f>
        <v>1.5741523927919297E-2</v>
      </c>
      <c r="K76" s="4">
        <f t="shared" si="22"/>
        <v>1.1958076131331179</v>
      </c>
      <c r="L76" s="4">
        <f t="shared" si="23"/>
        <v>0</v>
      </c>
      <c r="M76" s="4">
        <f t="shared" si="24"/>
        <v>0.78707619639596516</v>
      </c>
      <c r="N76" s="135">
        <f t="shared" si="17"/>
        <v>0.19676904909899129</v>
      </c>
      <c r="O76" s="6">
        <f t="shared" si="20"/>
        <v>3.0915996041778806</v>
      </c>
      <c r="P76" s="6">
        <f t="shared" si="21"/>
        <v>0.74897873301439055</v>
      </c>
      <c r="Q76" s="15">
        <f t="shared" si="25"/>
        <v>1.9952326650965921</v>
      </c>
      <c r="R76" s="4">
        <f>IF(VLOOKUP($B76,'Indicator Data (national)'!$B$5:$H$14,6,FALSE)="No data","x",IF(VLOOKUP($B76,'Indicator Data (national)'!$B$5:$H$14,6,FALSE)&gt;R$149,10,IF(VLOOKUP($B76,'Indicator Data (national)'!$B$5:$H$14,6,FALSE)&lt;R$150,0,10-(R$149-VLOOKUP($B76,'Indicator Data (national)'!$B$5:$H$14,6,FALSE))/(R$149-R$150)*10)))</f>
        <v>9.5239467647379001</v>
      </c>
      <c r="S76" s="4">
        <f>IF(VLOOKUP($B76,'Indicator Data (national)'!$B$5:$H$14,7,FALSE)="No data","x",IF(VLOOKUP($B76,'Indicator Data (national)'!$B$5:$H$14,7,FALSE)&gt;S$149,10,IF(VLOOKUP($B76,'Indicator Data (national)'!$B$5:$H$14,7,FALSE)&lt;S$150,0,10-(S$149-VLOOKUP($B76,'Indicator Data (national)'!$B$5:$H$14,7,FALSE))/(S$149-S$150)*10)))</f>
        <v>6.420295095728985</v>
      </c>
      <c r="T76" s="138">
        <f t="shared" si="26"/>
        <v>8.3825408014047689</v>
      </c>
      <c r="U76" s="6">
        <f>IF('Indicator Data'!G78=5,10,IF('Indicator Data'!G78=4,8,IF('Indicator Data'!G78=3,5,IF('Indicator Data'!G78=2,2,IF('Indicator Data'!G78=1,1,0)))))</f>
        <v>5</v>
      </c>
      <c r="V76" s="4">
        <f>IF('Indicator Data'!H78="No data","x",IF('Indicator Data'!H78&gt;1000,10,IF('Indicator Data'!H78&gt;=500,9,IF('Indicator Data'!H78&gt;=240,8,IF('Indicator Data'!H78&gt;=120,7,IF('Indicator Data'!H78&gt;=60,6,IF('Indicator Data'!H78&gt;=20,5,IF('Indicator Data'!H78&gt;=10,4,IF('Indicator Data'!H78&gt;=5,3,0)))))))))</f>
        <v>0</v>
      </c>
      <c r="W76" s="6">
        <f t="shared" si="27"/>
        <v>5</v>
      </c>
      <c r="X76" s="4">
        <f>IF('Indicator Data'!K78="No data","x",IF('Indicator Data'!K78&gt;X$149,0,IF('Indicator Data'!K78&lt;X$150,10,(X$149-'Indicator Data'!K78)/(X$149-X$150)*10)))</f>
        <v>3.7984</v>
      </c>
      <c r="Y76" s="6">
        <f t="shared" si="28"/>
        <v>4.3992000000000004</v>
      </c>
      <c r="Z76" s="7">
        <f t="shared" si="29"/>
        <v>4.5534720000000002</v>
      </c>
      <c r="AA76" s="139">
        <f t="shared" si="30"/>
        <v>6.6912704007023844</v>
      </c>
    </row>
    <row r="77" spans="1:27" s="11" customFormat="1" x14ac:dyDescent="0.25">
      <c r="A77" s="16" t="s">
        <v>444</v>
      </c>
      <c r="B77" s="11" t="s">
        <v>576</v>
      </c>
      <c r="C77" s="126" t="s">
        <v>669</v>
      </c>
      <c r="D77" s="4">
        <f>IF('Indicator Data'!D79="No data","x",IF('Indicator Data'!D79=0,0,IF(LOG('Indicator Data'!D79)&gt;D$149,10,IF(LOG('Indicator Data'!D79)&lt;D$150,0,10-(D$149-LOG('Indicator Data'!D79))/(D$149-D$150)*10))))</f>
        <v>5.9570218792401217</v>
      </c>
      <c r="E77" s="4">
        <f>IF('Indicator Data'!E79="No data","x",IF('Indicator Data'!E79=0,0,IF(LOG('Indicator Data'!E79)&gt;E$149,10,IF(LOG('Indicator Data'!E79)&lt;E$150,0,10-(E$149-LOG('Indicator Data'!E79))/(E$149-E$150)*10))))</f>
        <v>2.7341357282840359</v>
      </c>
      <c r="F77" s="4">
        <f>IF('Indicator Data'!F79="No data","x",IF('Indicator Data'!F79=0,0,IF(LOG('Indicator Data'!F79)&gt;F$149,10,IF(LOG('Indicator Data'!F79)&lt;F$150,0,10-(F$149-LOG('Indicator Data'!F79))/(F$149-F$150)*10))))</f>
        <v>6.5229701226267434</v>
      </c>
      <c r="G77" s="135">
        <f t="shared" si="16"/>
        <v>3.6813443268697128</v>
      </c>
      <c r="H77" s="54">
        <f>IF('Indicator Data'!D79="No data","x",'Indicator Data'!D79/'Indicator Data'!AN79)</f>
        <v>0.18758300511825257</v>
      </c>
      <c r="I77" s="54">
        <f>IF('Indicator Data'!E79="No data","x",'Indicator Data'!E79/'Indicator Data'!$AN79)</f>
        <v>5.5431880307729383E-4</v>
      </c>
      <c r="J77" s="54">
        <f>IF('Indicator Data'!F79="No data","x",'Indicator Data'!F79/'Indicator Data'!$AN79)</f>
        <v>0.10400644379752777</v>
      </c>
      <c r="K77" s="4">
        <f t="shared" si="22"/>
        <v>9.3791502559126272</v>
      </c>
      <c r="L77" s="4">
        <f t="shared" si="23"/>
        <v>2.7715940153864693E-2</v>
      </c>
      <c r="M77" s="4">
        <f t="shared" si="24"/>
        <v>5.2003221898763883</v>
      </c>
      <c r="N77" s="135">
        <f t="shared" si="17"/>
        <v>1.3208675025844956</v>
      </c>
      <c r="O77" s="6">
        <f t="shared" si="20"/>
        <v>8.1233559682319996</v>
      </c>
      <c r="P77" s="6">
        <f t="shared" si="21"/>
        <v>2.582381617671734</v>
      </c>
      <c r="Q77" s="15">
        <f t="shared" si="25"/>
        <v>6.0631654491365028</v>
      </c>
      <c r="R77" s="4">
        <f>IF(VLOOKUP($B77,'Indicator Data (national)'!$B$5:$H$14,6,FALSE)="No data","x",IF(VLOOKUP($B77,'Indicator Data (national)'!$B$5:$H$14,6,FALSE)&gt;R$149,10,IF(VLOOKUP($B77,'Indicator Data (national)'!$B$5:$H$14,6,FALSE)&lt;R$150,0,10-(R$149-VLOOKUP($B77,'Indicator Data (national)'!$B$5:$H$14,6,FALSE))/(R$149-R$150)*10)))</f>
        <v>9.5239467647379001</v>
      </c>
      <c r="S77" s="4">
        <f>IF(VLOOKUP($B77,'Indicator Data (national)'!$B$5:$H$14,7,FALSE)="No data","x",IF(VLOOKUP($B77,'Indicator Data (national)'!$B$5:$H$14,7,FALSE)&gt;S$149,10,IF(VLOOKUP($B77,'Indicator Data (national)'!$B$5:$H$14,7,FALSE)&lt;S$150,0,10-(S$149-VLOOKUP($B77,'Indicator Data (national)'!$B$5:$H$14,7,FALSE))/(S$149-S$150)*10)))</f>
        <v>6.420295095728985</v>
      </c>
      <c r="T77" s="138">
        <f t="shared" si="26"/>
        <v>8.3825408014047689</v>
      </c>
      <c r="U77" s="6">
        <f>IF('Indicator Data'!G79=5,10,IF('Indicator Data'!G79=4,8,IF('Indicator Data'!G79=3,5,IF('Indicator Data'!G79=2,2,IF('Indicator Data'!G79=1,1,0)))))</f>
        <v>5</v>
      </c>
      <c r="V77" s="4">
        <f>IF('Indicator Data'!H79="No data","x",IF('Indicator Data'!H79&gt;1000,10,IF('Indicator Data'!H79&gt;=500,9,IF('Indicator Data'!H79&gt;=240,8,IF('Indicator Data'!H79&gt;=120,7,IF('Indicator Data'!H79&gt;=60,6,IF('Indicator Data'!H79&gt;=20,5,IF('Indicator Data'!H79&gt;=10,4,IF('Indicator Data'!H79&gt;=5,3,0)))))))))</f>
        <v>0</v>
      </c>
      <c r="W77" s="6">
        <f t="shared" si="27"/>
        <v>5</v>
      </c>
      <c r="X77" s="4">
        <f>IF('Indicator Data'!K79="No data","x",IF('Indicator Data'!K79&gt;X$149,0,IF('Indicator Data'!K79&lt;X$150,10,(X$149-'Indicator Data'!K79)/(X$149-X$150)*10)))</f>
        <v>3.9408000000000003</v>
      </c>
      <c r="Y77" s="6">
        <f t="shared" si="28"/>
        <v>4.4703999999999997</v>
      </c>
      <c r="Z77" s="7">
        <f t="shared" si="29"/>
        <v>4.6004639999999997</v>
      </c>
      <c r="AA77" s="139">
        <f t="shared" si="30"/>
        <v>6.6912704007023844</v>
      </c>
    </row>
    <row r="78" spans="1:27" s="11" customFormat="1" x14ac:dyDescent="0.25">
      <c r="A78" s="16" t="s">
        <v>445</v>
      </c>
      <c r="B78" s="11" t="s">
        <v>576</v>
      </c>
      <c r="C78" s="126" t="s">
        <v>670</v>
      </c>
      <c r="D78" s="4">
        <f>IF('Indicator Data'!D80="No data","x",IF('Indicator Data'!D80=0,0,IF(LOG('Indicator Data'!D80)&gt;D$149,10,IF(LOG('Indicator Data'!D80)&lt;D$150,0,10-(D$149-LOG('Indicator Data'!D80))/(D$149-D$150)*10))))</f>
        <v>4.312785745001392</v>
      </c>
      <c r="E78" s="4">
        <f>IF('Indicator Data'!E80="No data","x",IF('Indicator Data'!E80=0,0,IF(LOG('Indicator Data'!E80)&gt;E$149,10,IF(LOG('Indicator Data'!E80)&lt;E$150,0,10-(E$149-LOG('Indicator Data'!E80))/(E$149-E$150)*10))))</f>
        <v>6.9027402388546921</v>
      </c>
      <c r="F78" s="4">
        <f>IF('Indicator Data'!F80="No data","x",IF('Indicator Data'!F80=0,0,IF(LOG('Indicator Data'!F80)&gt;F$149,10,IF(LOG('Indicator Data'!F80)&lt;F$150,0,10-(F$149-LOG('Indicator Data'!F80))/(F$149-F$150)*10))))</f>
        <v>2.3093437893305202</v>
      </c>
      <c r="G78" s="135">
        <f t="shared" si="16"/>
        <v>5.7543911264736494</v>
      </c>
      <c r="H78" s="54">
        <f>IF('Indicator Data'!D80="No data","x",'Indicator Data'!D80/'Indicator Data'!AN80)</f>
        <v>4.0991229619165341E-2</v>
      </c>
      <c r="I78" s="54">
        <f>IF('Indicator Data'!E80="No data","x",'Indicator Data'!E80/'Indicator Data'!$AN80)</f>
        <v>0.54373221888673062</v>
      </c>
      <c r="J78" s="54">
        <f>IF('Indicator Data'!F80="No data","x",'Indicator Data'!F80/'Indicator Data'!$AN80)</f>
        <v>9.535581847077521E-4</v>
      </c>
      <c r="K78" s="4">
        <f t="shared" si="22"/>
        <v>2.0495614809582676</v>
      </c>
      <c r="L78" s="4">
        <f t="shared" si="23"/>
        <v>10</v>
      </c>
      <c r="M78" s="4">
        <f t="shared" si="24"/>
        <v>4.7677909235387617E-2</v>
      </c>
      <c r="N78" s="135">
        <f t="shared" si="17"/>
        <v>7.5119194773088473</v>
      </c>
      <c r="O78" s="6">
        <f t="shared" si="20"/>
        <v>3.2623301416273636</v>
      </c>
      <c r="P78" s="6">
        <f t="shared" si="21"/>
        <v>6.720227173527638</v>
      </c>
      <c r="Q78" s="15">
        <f t="shared" si="25"/>
        <v>5.2405841936600872</v>
      </c>
      <c r="R78" s="4">
        <f>IF(VLOOKUP($B78,'Indicator Data (national)'!$B$5:$H$14,6,FALSE)="No data","x",IF(VLOOKUP($B78,'Indicator Data (national)'!$B$5:$H$14,6,FALSE)&gt;R$149,10,IF(VLOOKUP($B78,'Indicator Data (national)'!$B$5:$H$14,6,FALSE)&lt;R$150,0,10-(R$149-VLOOKUP($B78,'Indicator Data (national)'!$B$5:$H$14,6,FALSE))/(R$149-R$150)*10)))</f>
        <v>9.5239467647379001</v>
      </c>
      <c r="S78" s="4">
        <f>IF(VLOOKUP($B78,'Indicator Data (national)'!$B$5:$H$14,7,FALSE)="No data","x",IF(VLOOKUP($B78,'Indicator Data (national)'!$B$5:$H$14,7,FALSE)&gt;S$149,10,IF(VLOOKUP($B78,'Indicator Data (national)'!$B$5:$H$14,7,FALSE)&lt;S$150,0,10-(S$149-VLOOKUP($B78,'Indicator Data (national)'!$B$5:$H$14,7,FALSE))/(S$149-S$150)*10)))</f>
        <v>6.420295095728985</v>
      </c>
      <c r="T78" s="138">
        <f t="shared" si="26"/>
        <v>8.3825408014047689</v>
      </c>
      <c r="U78" s="6">
        <f>IF('Indicator Data'!G80=5,10,IF('Indicator Data'!G80=4,8,IF('Indicator Data'!G80=3,5,IF('Indicator Data'!G80=2,2,IF('Indicator Data'!G80=1,1,0)))))</f>
        <v>8</v>
      </c>
      <c r="V78" s="4">
        <f>IF('Indicator Data'!H80="No data","x",IF('Indicator Data'!H80&gt;1000,10,IF('Indicator Data'!H80&gt;=500,9,IF('Indicator Data'!H80&gt;=240,8,IF('Indicator Data'!H80&gt;=120,7,IF('Indicator Data'!H80&gt;=60,6,IF('Indicator Data'!H80&gt;=20,5,IF('Indicator Data'!H80&gt;=10,4,IF('Indicator Data'!H80&gt;=5,3,0)))))))))</f>
        <v>5</v>
      </c>
      <c r="W78" s="6">
        <f t="shared" si="27"/>
        <v>8</v>
      </c>
      <c r="X78" s="4">
        <f>IF('Indicator Data'!K80="No data","x",IF('Indicator Data'!K80&gt;X$149,0,IF('Indicator Data'!K80&lt;X$150,10,(X$149-'Indicator Data'!K80)/(X$149-X$150)*10)))</f>
        <v>3.6790000000000003</v>
      </c>
      <c r="Y78" s="6">
        <f t="shared" si="28"/>
        <v>5.8395000000000001</v>
      </c>
      <c r="Z78" s="7">
        <f t="shared" si="29"/>
        <v>6.4940700000000007</v>
      </c>
      <c r="AA78" s="139">
        <f t="shared" si="30"/>
        <v>8</v>
      </c>
    </row>
    <row r="79" spans="1:27" s="11" customFormat="1" x14ac:dyDescent="0.25">
      <c r="A79" s="16" t="s">
        <v>446</v>
      </c>
      <c r="B79" s="11" t="s">
        <v>576</v>
      </c>
      <c r="C79" s="126" t="s">
        <v>671</v>
      </c>
      <c r="D79" s="4">
        <f>IF('Indicator Data'!D81="No data","x",IF('Indicator Data'!D81=0,0,IF(LOG('Indicator Data'!D81)&gt;D$149,10,IF(LOG('Indicator Data'!D81)&lt;D$150,0,10-(D$149-LOG('Indicator Data'!D81))/(D$149-D$150)*10))))</f>
        <v>6.7786079702390643</v>
      </c>
      <c r="E79" s="4">
        <f>IF('Indicator Data'!E81="No data","x",IF('Indicator Data'!E81=0,0,IF(LOG('Indicator Data'!E81)&gt;E$149,10,IF(LOG('Indicator Data'!E81)&lt;E$150,0,10-(E$149-LOG('Indicator Data'!E81))/(E$149-E$150)*10))))</f>
        <v>0</v>
      </c>
      <c r="F79" s="4">
        <f>IF('Indicator Data'!F81="No data","x",IF('Indicator Data'!F81=0,0,IF(LOG('Indicator Data'!F81)&gt;F$149,10,IF(LOG('Indicator Data'!F81)&lt;F$150,0,10-(F$149-LOG('Indicator Data'!F81))/(F$149-F$150)*10))))</f>
        <v>7.1662158499444155</v>
      </c>
      <c r="G79" s="135">
        <f t="shared" si="16"/>
        <v>1.7915539624861039</v>
      </c>
      <c r="H79" s="54">
        <f>IF('Indicator Data'!D81="No data","x",'Indicator Data'!D81/'Indicator Data'!AN81)</f>
        <v>0.57331769937422916</v>
      </c>
      <c r="I79" s="54">
        <f>IF('Indicator Data'!E81="No data","x",'Indicator Data'!E81/'Indicator Data'!$AN81)</f>
        <v>0</v>
      </c>
      <c r="J79" s="54">
        <f>IF('Indicator Data'!F81="No data","x",'Indicator Data'!F81/'Indicator Data'!$AN81)</f>
        <v>0.20563606288234104</v>
      </c>
      <c r="K79" s="4">
        <f t="shared" si="22"/>
        <v>10</v>
      </c>
      <c r="L79" s="4">
        <f t="shared" si="23"/>
        <v>0</v>
      </c>
      <c r="M79" s="4">
        <f t="shared" si="24"/>
        <v>10</v>
      </c>
      <c r="N79" s="135">
        <f t="shared" si="17"/>
        <v>2.5</v>
      </c>
      <c r="O79" s="6">
        <f t="shared" si="20"/>
        <v>8.9170526846450535</v>
      </c>
      <c r="P79" s="6">
        <f t="shared" si="21"/>
        <v>2.1527774427797177</v>
      </c>
      <c r="Q79" s="15">
        <f t="shared" si="25"/>
        <v>6.6777030008535991</v>
      </c>
      <c r="R79" s="4">
        <f>IF(VLOOKUP($B79,'Indicator Data (national)'!$B$5:$H$14,6,FALSE)="No data","x",IF(VLOOKUP($B79,'Indicator Data (national)'!$B$5:$H$14,6,FALSE)&gt;R$149,10,IF(VLOOKUP($B79,'Indicator Data (national)'!$B$5:$H$14,6,FALSE)&lt;R$150,0,10-(R$149-VLOOKUP($B79,'Indicator Data (national)'!$B$5:$H$14,6,FALSE))/(R$149-R$150)*10)))</f>
        <v>9.5239467647379001</v>
      </c>
      <c r="S79" s="4">
        <f>IF(VLOOKUP($B79,'Indicator Data (national)'!$B$5:$H$14,7,FALSE)="No data","x",IF(VLOOKUP($B79,'Indicator Data (national)'!$B$5:$H$14,7,FALSE)&gt;S$149,10,IF(VLOOKUP($B79,'Indicator Data (national)'!$B$5:$H$14,7,FALSE)&lt;S$150,0,10-(S$149-VLOOKUP($B79,'Indicator Data (national)'!$B$5:$H$14,7,FALSE))/(S$149-S$150)*10)))</f>
        <v>6.420295095728985</v>
      </c>
      <c r="T79" s="138">
        <f t="shared" si="26"/>
        <v>8.3825408014047689</v>
      </c>
      <c r="U79" s="6">
        <f>IF('Indicator Data'!G81=5,10,IF('Indicator Data'!G81=4,8,IF('Indicator Data'!G81=3,5,IF('Indicator Data'!G81=2,2,IF('Indicator Data'!G81=1,1,0)))))</f>
        <v>0</v>
      </c>
      <c r="V79" s="4">
        <f>IF('Indicator Data'!H81="No data","x",IF('Indicator Data'!H81&gt;1000,10,IF('Indicator Data'!H81&gt;=500,9,IF('Indicator Data'!H81&gt;=240,8,IF('Indicator Data'!H81&gt;=120,7,IF('Indicator Data'!H81&gt;=60,6,IF('Indicator Data'!H81&gt;=20,5,IF('Indicator Data'!H81&gt;=10,4,IF('Indicator Data'!H81&gt;=5,3,0)))))))))</f>
        <v>0</v>
      </c>
      <c r="W79" s="6">
        <f t="shared" si="27"/>
        <v>0</v>
      </c>
      <c r="X79" s="4">
        <f>IF('Indicator Data'!K81="No data","x",IF('Indicator Data'!K81&gt;X$149,0,IF('Indicator Data'!K81&lt;X$150,10,(X$149-'Indicator Data'!K81)/(X$149-X$150)*10)))</f>
        <v>3.6980000000000004</v>
      </c>
      <c r="Y79" s="6">
        <f t="shared" si="28"/>
        <v>1.8490000000000002</v>
      </c>
      <c r="Z79" s="7">
        <f t="shared" si="29"/>
        <v>1.2203400000000002</v>
      </c>
      <c r="AA79" s="139">
        <f t="shared" si="30"/>
        <v>4.1912704007023844</v>
      </c>
    </row>
    <row r="80" spans="1:27" s="11" customFormat="1" x14ac:dyDescent="0.25">
      <c r="A80" s="16" t="s">
        <v>447</v>
      </c>
      <c r="B80" s="11" t="s">
        <v>576</v>
      </c>
      <c r="C80" s="126" t="s">
        <v>672</v>
      </c>
      <c r="D80" s="4">
        <f>IF('Indicator Data'!D82="No data","x",IF('Indicator Data'!D82=0,0,IF(LOG('Indicator Data'!D82)&gt;D$149,10,IF(LOG('Indicator Data'!D82)&lt;D$150,0,10-(D$149-LOG('Indicator Data'!D82))/(D$149-D$150)*10))))</f>
        <v>0.63879718763174154</v>
      </c>
      <c r="E80" s="4">
        <f>IF('Indicator Data'!E82="No data","x",IF('Indicator Data'!E82=0,0,IF(LOG('Indicator Data'!E82)&gt;E$149,10,IF(LOG('Indicator Data'!E82)&lt;E$150,0,10-(E$149-LOG('Indicator Data'!E82))/(E$149-E$150)*10))))</f>
        <v>7.0954868280261358</v>
      </c>
      <c r="F80" s="4">
        <f>IF('Indicator Data'!F82="No data","x",IF('Indicator Data'!F82=0,0,IF(LOG('Indicator Data'!F82)&gt;F$149,10,IF(LOG('Indicator Data'!F82)&lt;F$150,0,10-(F$149-LOG('Indicator Data'!F82))/(F$149-F$150)*10))))</f>
        <v>0</v>
      </c>
      <c r="G80" s="135">
        <f t="shared" si="16"/>
        <v>5.3216151210196019</v>
      </c>
      <c r="H80" s="54">
        <f>IF('Indicator Data'!D82="No data","x",'Indicator Data'!D82/'Indicator Data'!AN82)</f>
        <v>8.5334113530942764E-5</v>
      </c>
      <c r="I80" s="54">
        <f>IF('Indicator Data'!E82="No data","x",'Indicator Data'!E82/'Indicator Data'!$AN82)</f>
        <v>0.55113341988650566</v>
      </c>
      <c r="J80" s="54">
        <f>IF('Indicator Data'!F82="No data","x",'Indicator Data'!F82/'Indicator Data'!$AN82)</f>
        <v>0</v>
      </c>
      <c r="K80" s="4">
        <f t="shared" si="22"/>
        <v>4.266705676547744E-3</v>
      </c>
      <c r="L80" s="4">
        <f t="shared" si="23"/>
        <v>10</v>
      </c>
      <c r="M80" s="4">
        <f t="shared" si="24"/>
        <v>0</v>
      </c>
      <c r="N80" s="135">
        <f t="shared" si="17"/>
        <v>7.5</v>
      </c>
      <c r="O80" s="6">
        <f t="shared" si="20"/>
        <v>0.3261975132675331</v>
      </c>
      <c r="P80" s="6">
        <f t="shared" si="21"/>
        <v>6.5387470291997998</v>
      </c>
      <c r="Q80" s="15">
        <f t="shared" si="25"/>
        <v>4.0888214872564479</v>
      </c>
      <c r="R80" s="4">
        <f>IF(VLOOKUP($B80,'Indicator Data (national)'!$B$5:$H$14,6,FALSE)="No data","x",IF(VLOOKUP($B80,'Indicator Data (national)'!$B$5:$H$14,6,FALSE)&gt;R$149,10,IF(VLOOKUP($B80,'Indicator Data (national)'!$B$5:$H$14,6,FALSE)&lt;R$150,0,10-(R$149-VLOOKUP($B80,'Indicator Data (national)'!$B$5:$H$14,6,FALSE))/(R$149-R$150)*10)))</f>
        <v>9.5239467647379001</v>
      </c>
      <c r="S80" s="4">
        <f>IF(VLOOKUP($B80,'Indicator Data (national)'!$B$5:$H$14,7,FALSE)="No data","x",IF(VLOOKUP($B80,'Indicator Data (national)'!$B$5:$H$14,7,FALSE)&gt;S$149,10,IF(VLOOKUP($B80,'Indicator Data (national)'!$B$5:$H$14,7,FALSE)&lt;S$150,0,10-(S$149-VLOOKUP($B80,'Indicator Data (national)'!$B$5:$H$14,7,FALSE))/(S$149-S$150)*10)))</f>
        <v>6.420295095728985</v>
      </c>
      <c r="T80" s="138">
        <f t="shared" si="26"/>
        <v>8.3825408014047689</v>
      </c>
      <c r="U80" s="6">
        <f>IF('Indicator Data'!G82=5,10,IF('Indicator Data'!G82=4,8,IF('Indicator Data'!G82=3,5,IF('Indicator Data'!G82=2,2,IF('Indicator Data'!G82=1,1,0)))))</f>
        <v>8</v>
      </c>
      <c r="V80" s="4">
        <f>IF('Indicator Data'!H82="No data","x",IF('Indicator Data'!H82&gt;1000,10,IF('Indicator Data'!H82&gt;=500,9,IF('Indicator Data'!H82&gt;=240,8,IF('Indicator Data'!H82&gt;=120,7,IF('Indicator Data'!H82&gt;=60,6,IF('Indicator Data'!H82&gt;=20,5,IF('Indicator Data'!H82&gt;=10,4,IF('Indicator Data'!H82&gt;=5,3,0)))))))))</f>
        <v>0</v>
      </c>
      <c r="W80" s="6">
        <f t="shared" si="27"/>
        <v>8</v>
      </c>
      <c r="X80" s="4">
        <f>IF('Indicator Data'!K82="No data","x",IF('Indicator Data'!K82&gt;X$149,0,IF('Indicator Data'!K82&lt;X$150,10,(X$149-'Indicator Data'!K82)/(X$149-X$150)*10)))</f>
        <v>3.8</v>
      </c>
      <c r="Y80" s="6">
        <f t="shared" si="28"/>
        <v>5.9</v>
      </c>
      <c r="Z80" s="7">
        <f t="shared" si="29"/>
        <v>6.5340000000000007</v>
      </c>
      <c r="AA80" s="139">
        <f t="shared" si="30"/>
        <v>8</v>
      </c>
    </row>
    <row r="81" spans="1:27" s="11" customFormat="1" x14ac:dyDescent="0.25">
      <c r="A81" s="16" t="s">
        <v>448</v>
      </c>
      <c r="B81" s="11" t="s">
        <v>576</v>
      </c>
      <c r="C81" s="126" t="s">
        <v>673</v>
      </c>
      <c r="D81" s="4">
        <f>IF('Indicator Data'!D83="No data","x",IF('Indicator Data'!D83=0,0,IF(LOG('Indicator Data'!D83)&gt;D$149,10,IF(LOG('Indicator Data'!D83)&lt;D$150,0,10-(D$149-LOG('Indicator Data'!D83))/(D$149-D$150)*10))))</f>
        <v>0</v>
      </c>
      <c r="E81" s="4">
        <f>IF('Indicator Data'!E83="No data","x",IF('Indicator Data'!E83=0,0,IF(LOG('Indicator Data'!E83)&gt;E$149,10,IF(LOG('Indicator Data'!E83)&lt;E$150,0,10-(E$149-LOG('Indicator Data'!E83))/(E$149-E$150)*10))))</f>
        <v>6.6310387706972547</v>
      </c>
      <c r="F81" s="4">
        <f>IF('Indicator Data'!F83="No data","x",IF('Indicator Data'!F83=0,0,IF(LOG('Indicator Data'!F83)&gt;F$149,10,IF(LOG('Indicator Data'!F83)&lt;F$150,0,10-(F$149-LOG('Indicator Data'!F83))/(F$149-F$150)*10))))</f>
        <v>0</v>
      </c>
      <c r="G81" s="135">
        <f t="shared" si="16"/>
        <v>4.9732790780229408</v>
      </c>
      <c r="H81" s="54">
        <f>IF('Indicator Data'!D83="No data","x",'Indicator Data'!D83/'Indicator Data'!AN83)</f>
        <v>2.7736846667244517E-5</v>
      </c>
      <c r="I81" s="54">
        <f>IF('Indicator Data'!E83="No data","x",'Indicator Data'!E83/'Indicator Data'!$AN83)</f>
        <v>0.33005807402270954</v>
      </c>
      <c r="J81" s="54">
        <f>IF('Indicator Data'!F83="No data","x",'Indicator Data'!F83/'Indicator Data'!$AN83)</f>
        <v>0</v>
      </c>
      <c r="K81" s="4">
        <f t="shared" si="22"/>
        <v>1.3868423333622815E-3</v>
      </c>
      <c r="L81" s="4">
        <f t="shared" si="23"/>
        <v>10</v>
      </c>
      <c r="M81" s="4">
        <f t="shared" si="24"/>
        <v>0</v>
      </c>
      <c r="N81" s="135">
        <f t="shared" si="17"/>
        <v>7.5</v>
      </c>
      <c r="O81" s="6">
        <f t="shared" si="20"/>
        <v>6.9344280551201609E-4</v>
      </c>
      <c r="P81" s="6">
        <f t="shared" si="21"/>
        <v>6.4032035660526487</v>
      </c>
      <c r="Q81" s="15">
        <f t="shared" si="25"/>
        <v>3.8787657674921561</v>
      </c>
      <c r="R81" s="4">
        <f>IF(VLOOKUP($B81,'Indicator Data (national)'!$B$5:$H$14,6,FALSE)="No data","x",IF(VLOOKUP($B81,'Indicator Data (national)'!$B$5:$H$14,6,FALSE)&gt;R$149,10,IF(VLOOKUP($B81,'Indicator Data (national)'!$B$5:$H$14,6,FALSE)&lt;R$150,0,10-(R$149-VLOOKUP($B81,'Indicator Data (national)'!$B$5:$H$14,6,FALSE))/(R$149-R$150)*10)))</f>
        <v>9.5239467647379001</v>
      </c>
      <c r="S81" s="4">
        <f>IF(VLOOKUP($B81,'Indicator Data (national)'!$B$5:$H$14,7,FALSE)="No data","x",IF(VLOOKUP($B81,'Indicator Data (national)'!$B$5:$H$14,7,FALSE)&gt;S$149,10,IF(VLOOKUP($B81,'Indicator Data (national)'!$B$5:$H$14,7,FALSE)&lt;S$150,0,10-(S$149-VLOOKUP($B81,'Indicator Data (national)'!$B$5:$H$14,7,FALSE))/(S$149-S$150)*10)))</f>
        <v>6.420295095728985</v>
      </c>
      <c r="T81" s="138">
        <f t="shared" si="26"/>
        <v>8.3825408014047689</v>
      </c>
      <c r="U81" s="6">
        <f>IF('Indicator Data'!G83=5,10,IF('Indicator Data'!G83=4,8,IF('Indicator Data'!G83=3,5,IF('Indicator Data'!G83=2,2,IF('Indicator Data'!G83=1,1,0)))))</f>
        <v>8</v>
      </c>
      <c r="V81" s="4">
        <f>IF('Indicator Data'!H83="No data","x",IF('Indicator Data'!H83&gt;1000,10,IF('Indicator Data'!H83&gt;=500,9,IF('Indicator Data'!H83&gt;=240,8,IF('Indicator Data'!H83&gt;=120,7,IF('Indicator Data'!H83&gt;=60,6,IF('Indicator Data'!H83&gt;=20,5,IF('Indicator Data'!H83&gt;=10,4,IF('Indicator Data'!H83&gt;=5,3,0)))))))))</f>
        <v>7</v>
      </c>
      <c r="W81" s="6">
        <f t="shared" si="27"/>
        <v>8</v>
      </c>
      <c r="X81" s="4">
        <f>IF('Indicator Data'!K83="No data","x",IF('Indicator Data'!K83&gt;X$149,0,IF('Indicator Data'!K83&lt;X$150,10,(X$149-'Indicator Data'!K83)/(X$149-X$150)*10)))</f>
        <v>3.6292</v>
      </c>
      <c r="Y81" s="6">
        <f t="shared" si="28"/>
        <v>5.8146000000000004</v>
      </c>
      <c r="Z81" s="7">
        <f t="shared" si="29"/>
        <v>6.4776360000000004</v>
      </c>
      <c r="AA81" s="139">
        <f t="shared" si="30"/>
        <v>8</v>
      </c>
    </row>
    <row r="82" spans="1:27" s="11" customFormat="1" x14ac:dyDescent="0.25">
      <c r="A82" s="16" t="s">
        <v>449</v>
      </c>
      <c r="B82" s="11" t="s">
        <v>576</v>
      </c>
      <c r="C82" s="126" t="s">
        <v>674</v>
      </c>
      <c r="D82" s="4">
        <f>IF('Indicator Data'!D84="No data","x",IF('Indicator Data'!D84=0,0,IF(LOG('Indicator Data'!D84)&gt;D$149,10,IF(LOG('Indicator Data'!D84)&lt;D$150,0,10-(D$149-LOG('Indicator Data'!D84))/(D$149-D$150)*10))))</f>
        <v>5.3290428378536978</v>
      </c>
      <c r="E82" s="4">
        <f>IF('Indicator Data'!E84="No data","x",IF('Indicator Data'!E84=0,0,IF(LOG('Indicator Data'!E84)&gt;E$149,10,IF(LOG('Indicator Data'!E84)&lt;E$150,0,10-(E$149-LOG('Indicator Data'!E84))/(E$149-E$150)*10))))</f>
        <v>7.5324253442272981</v>
      </c>
      <c r="F82" s="4">
        <f>IF('Indicator Data'!F84="No data","x",IF('Indicator Data'!F84=0,0,IF(LOG('Indicator Data'!F84)&gt;F$149,10,IF(LOG('Indicator Data'!F84)&lt;F$150,0,10-(F$149-LOG('Indicator Data'!F84))/(F$149-F$150)*10))))</f>
        <v>0</v>
      </c>
      <c r="G82" s="135">
        <f t="shared" si="16"/>
        <v>5.6493190081704734</v>
      </c>
      <c r="H82" s="54">
        <f>IF('Indicator Data'!D84="No data","x",'Indicator Data'!D84/'Indicator Data'!AN84)</f>
        <v>0.12693164292681544</v>
      </c>
      <c r="I82" s="54">
        <f>IF('Indicator Data'!E84="No data","x",'Indicator Data'!E84/'Indicator Data'!$AN84)</f>
        <v>0.78107928740296029</v>
      </c>
      <c r="J82" s="54">
        <f>IF('Indicator Data'!F84="No data","x",'Indicator Data'!F84/'Indicator Data'!$AN84)</f>
        <v>0</v>
      </c>
      <c r="K82" s="4">
        <f t="shared" si="22"/>
        <v>6.3465821463407721</v>
      </c>
      <c r="L82" s="4">
        <f t="shared" si="23"/>
        <v>10</v>
      </c>
      <c r="M82" s="4">
        <f t="shared" si="24"/>
        <v>0</v>
      </c>
      <c r="N82" s="135">
        <f t="shared" si="17"/>
        <v>7.5</v>
      </c>
      <c r="O82" s="6">
        <f t="shared" si="20"/>
        <v>5.8624130092753273</v>
      </c>
      <c r="P82" s="6">
        <f t="shared" si="21"/>
        <v>6.6700371250681121</v>
      </c>
      <c r="Q82" s="15">
        <f t="shared" si="25"/>
        <v>6.2830828799740797</v>
      </c>
      <c r="R82" s="4">
        <f>IF(VLOOKUP($B82,'Indicator Data (national)'!$B$5:$H$14,6,FALSE)="No data","x",IF(VLOOKUP($B82,'Indicator Data (national)'!$B$5:$H$14,6,FALSE)&gt;R$149,10,IF(VLOOKUP($B82,'Indicator Data (national)'!$B$5:$H$14,6,FALSE)&lt;R$150,0,10-(R$149-VLOOKUP($B82,'Indicator Data (national)'!$B$5:$H$14,6,FALSE))/(R$149-R$150)*10)))</f>
        <v>9.5239467647379001</v>
      </c>
      <c r="S82" s="4">
        <f>IF(VLOOKUP($B82,'Indicator Data (national)'!$B$5:$H$14,7,FALSE)="No data","x",IF(VLOOKUP($B82,'Indicator Data (national)'!$B$5:$H$14,7,FALSE)&gt;S$149,10,IF(VLOOKUP($B82,'Indicator Data (national)'!$B$5:$H$14,7,FALSE)&lt;S$150,0,10-(S$149-VLOOKUP($B82,'Indicator Data (national)'!$B$5:$H$14,7,FALSE))/(S$149-S$150)*10)))</f>
        <v>6.420295095728985</v>
      </c>
      <c r="T82" s="138">
        <f t="shared" si="26"/>
        <v>8.3825408014047689</v>
      </c>
      <c r="U82" s="6">
        <f>IF('Indicator Data'!G84=5,10,IF('Indicator Data'!G84=4,8,IF('Indicator Data'!G84=3,5,IF('Indicator Data'!G84=2,2,IF('Indicator Data'!G84=1,1,0)))))</f>
        <v>5</v>
      </c>
      <c r="V82" s="4">
        <f>IF('Indicator Data'!H84="No data","x",IF('Indicator Data'!H84&gt;1000,10,IF('Indicator Data'!H84&gt;=500,9,IF('Indicator Data'!H84&gt;=240,8,IF('Indicator Data'!H84&gt;=120,7,IF('Indicator Data'!H84&gt;=60,6,IF('Indicator Data'!H84&gt;=20,5,IF('Indicator Data'!H84&gt;=10,4,IF('Indicator Data'!H84&gt;=5,3,0)))))))))</f>
        <v>0</v>
      </c>
      <c r="W82" s="6">
        <f t="shared" si="27"/>
        <v>5</v>
      </c>
      <c r="X82" s="4">
        <f>IF('Indicator Data'!K84="No data","x",IF('Indicator Data'!K84&gt;X$149,0,IF('Indicator Data'!K84&lt;X$150,10,(X$149-'Indicator Data'!K84)/(X$149-X$150)*10)))</f>
        <v>3.8340000000000001</v>
      </c>
      <c r="Y82" s="6">
        <f t="shared" si="28"/>
        <v>4.4169999999999998</v>
      </c>
      <c r="Z82" s="7">
        <f t="shared" si="29"/>
        <v>4.5652200000000001</v>
      </c>
      <c r="AA82" s="139">
        <f t="shared" si="30"/>
        <v>6.6912704007023844</v>
      </c>
    </row>
    <row r="83" spans="1:27" s="11" customFormat="1" x14ac:dyDescent="0.25">
      <c r="A83" s="16" t="s">
        <v>450</v>
      </c>
      <c r="B83" s="11" t="s">
        <v>576</v>
      </c>
      <c r="C83" s="126" t="s">
        <v>675</v>
      </c>
      <c r="D83" s="4">
        <f>IF('Indicator Data'!D85="No data","x",IF('Indicator Data'!D85=0,0,IF(LOG('Indicator Data'!D85)&gt;D$149,10,IF(LOG('Indicator Data'!D85)&lt;D$150,0,10-(D$149-LOG('Indicator Data'!D85))/(D$149-D$150)*10))))</f>
        <v>5.4490393141098572</v>
      </c>
      <c r="E83" s="4">
        <f>IF('Indicator Data'!E85="No data","x",IF('Indicator Data'!E85=0,0,IF(LOG('Indicator Data'!E85)&gt;E$149,10,IF(LOG('Indicator Data'!E85)&lt;E$150,0,10-(E$149-LOG('Indicator Data'!E85))/(E$149-E$150)*10))))</f>
        <v>0</v>
      </c>
      <c r="F83" s="4">
        <f>IF('Indicator Data'!F85="No data","x",IF('Indicator Data'!F85=0,0,IF(LOG('Indicator Data'!F85)&gt;F$149,10,IF(LOG('Indicator Data'!F85)&lt;F$150,0,10-(F$149-LOG('Indicator Data'!F85))/(F$149-F$150)*10))))</f>
        <v>3.5659404436264168</v>
      </c>
      <c r="G83" s="135">
        <f t="shared" si="16"/>
        <v>0.89148511090660421</v>
      </c>
      <c r="H83" s="54">
        <f>IF('Indicator Data'!D85="No data","x",'Indicator Data'!D85/'Indicator Data'!AN85)</f>
        <v>6.9390634626577893E-2</v>
      </c>
      <c r="I83" s="54">
        <f>IF('Indicator Data'!E85="No data","x",'Indicator Data'!E85/'Indicator Data'!$AN85)</f>
        <v>0</v>
      </c>
      <c r="J83" s="54">
        <f>IF('Indicator Data'!F85="No data","x",'Indicator Data'!F85/'Indicator Data'!$AN85)</f>
        <v>1.4673631409871024E-3</v>
      </c>
      <c r="K83" s="4">
        <f t="shared" si="22"/>
        <v>3.4695317313288951</v>
      </c>
      <c r="L83" s="4">
        <f t="shared" si="23"/>
        <v>0</v>
      </c>
      <c r="M83" s="4">
        <f t="shared" si="24"/>
        <v>7.3368157049355176E-2</v>
      </c>
      <c r="N83" s="135">
        <f t="shared" si="17"/>
        <v>1.8342039262338794E-2</v>
      </c>
      <c r="O83" s="6">
        <f t="shared" si="20"/>
        <v>4.5333325278193914</v>
      </c>
      <c r="P83" s="6">
        <f t="shared" si="21"/>
        <v>0.46386023490226297</v>
      </c>
      <c r="Q83" s="15">
        <f t="shared" si="25"/>
        <v>2.7424039956445552</v>
      </c>
      <c r="R83" s="4">
        <f>IF(VLOOKUP($B83,'Indicator Data (national)'!$B$5:$H$14,6,FALSE)="No data","x",IF(VLOOKUP($B83,'Indicator Data (national)'!$B$5:$H$14,6,FALSE)&gt;R$149,10,IF(VLOOKUP($B83,'Indicator Data (national)'!$B$5:$H$14,6,FALSE)&lt;R$150,0,10-(R$149-VLOOKUP($B83,'Indicator Data (national)'!$B$5:$H$14,6,FALSE))/(R$149-R$150)*10)))</f>
        <v>9.5239467647379001</v>
      </c>
      <c r="S83" s="4">
        <f>IF(VLOOKUP($B83,'Indicator Data (national)'!$B$5:$H$14,7,FALSE)="No data","x",IF(VLOOKUP($B83,'Indicator Data (national)'!$B$5:$H$14,7,FALSE)&gt;S$149,10,IF(VLOOKUP($B83,'Indicator Data (national)'!$B$5:$H$14,7,FALSE)&lt;S$150,0,10-(S$149-VLOOKUP($B83,'Indicator Data (national)'!$B$5:$H$14,7,FALSE))/(S$149-S$150)*10)))</f>
        <v>6.420295095728985</v>
      </c>
      <c r="T83" s="138">
        <f t="shared" si="26"/>
        <v>8.3825408014047689</v>
      </c>
      <c r="U83" s="6">
        <f>IF('Indicator Data'!G85=5,10,IF('Indicator Data'!G85=4,8,IF('Indicator Data'!G85=3,5,IF('Indicator Data'!G85=2,2,IF('Indicator Data'!G85=1,1,0)))))</f>
        <v>8</v>
      </c>
      <c r="V83" s="4">
        <f>IF('Indicator Data'!H85="No data","x",IF('Indicator Data'!H85&gt;1000,10,IF('Indicator Data'!H85&gt;=500,9,IF('Indicator Data'!H85&gt;=240,8,IF('Indicator Data'!H85&gt;=120,7,IF('Indicator Data'!H85&gt;=60,6,IF('Indicator Data'!H85&gt;=20,5,IF('Indicator Data'!H85&gt;=10,4,IF('Indicator Data'!H85&gt;=5,3,0)))))))))</f>
        <v>0</v>
      </c>
      <c r="W83" s="6">
        <f t="shared" si="27"/>
        <v>8</v>
      </c>
      <c r="X83" s="4">
        <f>IF('Indicator Data'!K85="No data","x",IF('Indicator Data'!K85&gt;X$149,0,IF('Indicator Data'!K85&lt;X$150,10,(X$149-'Indicator Data'!K85)/(X$149-X$150)*10)))</f>
        <v>3.7602000000000002</v>
      </c>
      <c r="Y83" s="6">
        <f t="shared" si="28"/>
        <v>5.8801000000000005</v>
      </c>
      <c r="Z83" s="7">
        <f t="shared" si="29"/>
        <v>6.5208660000000007</v>
      </c>
      <c r="AA83" s="139">
        <f t="shared" si="30"/>
        <v>8</v>
      </c>
    </row>
    <row r="84" spans="1:27" s="11" customFormat="1" x14ac:dyDescent="0.25">
      <c r="A84" s="16" t="s">
        <v>451</v>
      </c>
      <c r="B84" s="11" t="s">
        <v>576</v>
      </c>
      <c r="C84" s="126" t="s">
        <v>676</v>
      </c>
      <c r="D84" s="4">
        <f>IF('Indicator Data'!D86="No data","x",IF('Indicator Data'!D86=0,0,IF(LOG('Indicator Data'!D86)&gt;D$149,10,IF(LOG('Indicator Data'!D86)&lt;D$150,0,10-(D$149-LOG('Indicator Data'!D86))/(D$149-D$150)*10))))</f>
        <v>5.9783536024216186</v>
      </c>
      <c r="E84" s="4">
        <f>IF('Indicator Data'!E86="No data","x",IF('Indicator Data'!E86=0,0,IF(LOG('Indicator Data'!E86)&gt;E$149,10,IF(LOG('Indicator Data'!E86)&lt;E$150,0,10-(E$149-LOG('Indicator Data'!E86))/(E$149-E$150)*10))))</f>
        <v>7.7819235098014516</v>
      </c>
      <c r="F84" s="4">
        <f>IF('Indicator Data'!F86="No data","x",IF('Indicator Data'!F86=0,0,IF(LOG('Indicator Data'!F86)&gt;F$149,10,IF(LOG('Indicator Data'!F86)&lt;F$150,0,10-(F$149-LOG('Indicator Data'!F86))/(F$149-F$150)*10))))</f>
        <v>4.9532082486403182</v>
      </c>
      <c r="G84" s="135">
        <f t="shared" si="16"/>
        <v>7.0747446945111685</v>
      </c>
      <c r="H84" s="54">
        <f>IF('Indicator Data'!D86="No data","x",'Indicator Data'!D86/'Indicator Data'!AN86)</f>
        <v>0.1516842296169516</v>
      </c>
      <c r="I84" s="54">
        <f>IF('Indicator Data'!E86="No data","x",'Indicator Data'!E86/'Indicator Data'!$AN86)</f>
        <v>0.46264408540023805</v>
      </c>
      <c r="J84" s="54">
        <f>IF('Indicator Data'!F86="No data","x",'Indicator Data'!F86/'Indicator Data'!$AN86)</f>
        <v>9.2900458556029169E-3</v>
      </c>
      <c r="K84" s="4">
        <f t="shared" si="22"/>
        <v>7.5842114808475802</v>
      </c>
      <c r="L84" s="4">
        <f t="shared" si="23"/>
        <v>10</v>
      </c>
      <c r="M84" s="4">
        <f t="shared" si="24"/>
        <v>0.46450229278014632</v>
      </c>
      <c r="N84" s="135">
        <f t="shared" si="17"/>
        <v>7.6161255731950366</v>
      </c>
      <c r="O84" s="6">
        <f t="shared" si="20"/>
        <v>6.8563819117813427</v>
      </c>
      <c r="P84" s="6">
        <f t="shared" si="21"/>
        <v>7.3551768396219348</v>
      </c>
      <c r="Q84" s="15">
        <f t="shared" si="25"/>
        <v>7.113551453561473</v>
      </c>
      <c r="R84" s="4">
        <f>IF(VLOOKUP($B84,'Indicator Data (national)'!$B$5:$H$14,6,FALSE)="No data","x",IF(VLOOKUP($B84,'Indicator Data (national)'!$B$5:$H$14,6,FALSE)&gt;R$149,10,IF(VLOOKUP($B84,'Indicator Data (national)'!$B$5:$H$14,6,FALSE)&lt;R$150,0,10-(R$149-VLOOKUP($B84,'Indicator Data (national)'!$B$5:$H$14,6,FALSE))/(R$149-R$150)*10)))</f>
        <v>9.5239467647379001</v>
      </c>
      <c r="S84" s="4">
        <f>IF(VLOOKUP($B84,'Indicator Data (national)'!$B$5:$H$14,7,FALSE)="No data","x",IF(VLOOKUP($B84,'Indicator Data (national)'!$B$5:$H$14,7,FALSE)&gt;S$149,10,IF(VLOOKUP($B84,'Indicator Data (national)'!$B$5:$H$14,7,FALSE)&lt;S$150,0,10-(S$149-VLOOKUP($B84,'Indicator Data (national)'!$B$5:$H$14,7,FALSE))/(S$149-S$150)*10)))</f>
        <v>6.420295095728985</v>
      </c>
      <c r="T84" s="138">
        <f t="shared" si="26"/>
        <v>8.3825408014047689</v>
      </c>
      <c r="U84" s="6">
        <f>IF('Indicator Data'!G86=5,10,IF('Indicator Data'!G86=4,8,IF('Indicator Data'!G86=3,5,IF('Indicator Data'!G86=2,2,IF('Indicator Data'!G86=1,1,0)))))</f>
        <v>8</v>
      </c>
      <c r="V84" s="4">
        <f>IF('Indicator Data'!H86="No data","x",IF('Indicator Data'!H86&gt;1000,10,IF('Indicator Data'!H86&gt;=500,9,IF('Indicator Data'!H86&gt;=240,8,IF('Indicator Data'!H86&gt;=120,7,IF('Indicator Data'!H86&gt;=60,6,IF('Indicator Data'!H86&gt;=20,5,IF('Indicator Data'!H86&gt;=10,4,IF('Indicator Data'!H86&gt;=5,3,0)))))))))</f>
        <v>7</v>
      </c>
      <c r="W84" s="6">
        <f t="shared" si="27"/>
        <v>8</v>
      </c>
      <c r="X84" s="4">
        <f>IF('Indicator Data'!K86="No data","x",IF('Indicator Data'!K86&gt;X$149,0,IF('Indicator Data'!K86&lt;X$150,10,(X$149-'Indicator Data'!K86)/(X$149-X$150)*10)))</f>
        <v>3.6941999999999995</v>
      </c>
      <c r="Y84" s="6">
        <f t="shared" si="28"/>
        <v>5.8470999999999993</v>
      </c>
      <c r="Z84" s="7">
        <f t="shared" si="29"/>
        <v>6.4990860000000001</v>
      </c>
      <c r="AA84" s="139">
        <f t="shared" si="30"/>
        <v>8</v>
      </c>
    </row>
    <row r="85" spans="1:27" s="11" customFormat="1" x14ac:dyDescent="0.25">
      <c r="A85" s="16" t="s">
        <v>452</v>
      </c>
      <c r="B85" s="11" t="s">
        <v>576</v>
      </c>
      <c r="C85" s="126" t="s">
        <v>677</v>
      </c>
      <c r="D85" s="4">
        <f>IF('Indicator Data'!D87="No data","x",IF('Indicator Data'!D87=0,0,IF(LOG('Indicator Data'!D87)&gt;D$149,10,IF(LOG('Indicator Data'!D87)&lt;D$150,0,10-(D$149-LOG('Indicator Data'!D87))/(D$149-D$150)*10))))</f>
        <v>6.2234076976348112</v>
      </c>
      <c r="E85" s="4">
        <f>IF('Indicator Data'!E87="No data","x",IF('Indicator Data'!E87=0,0,IF(LOG('Indicator Data'!E87)&gt;E$149,10,IF(LOG('Indicator Data'!E87)&lt;E$150,0,10-(E$149-LOG('Indicator Data'!E87))/(E$149-E$150)*10))))</f>
        <v>0</v>
      </c>
      <c r="F85" s="4">
        <f>IF('Indicator Data'!F87="No data","x",IF('Indicator Data'!F87=0,0,IF(LOG('Indicator Data'!F87)&gt;F$149,10,IF(LOG('Indicator Data'!F87)&lt;F$150,0,10-(F$149-LOG('Indicator Data'!F87))/(F$149-F$150)*10))))</f>
        <v>7.6812652726621389</v>
      </c>
      <c r="G85" s="135">
        <f t="shared" ref="G85:G87" si="31">IF(AND(E85="x",F85="x"),"x",AVERAGE(E85,E85,E85,F85))</f>
        <v>1.9203163181655347</v>
      </c>
      <c r="H85" s="54">
        <f>IF('Indicator Data'!D87="No data","x",'Indicator Data'!D87/'Indicator Data'!AN87)</f>
        <v>0.21211529897045822</v>
      </c>
      <c r="I85" s="54">
        <f>IF('Indicator Data'!E87="No data","x",'Indicator Data'!E87/'Indicator Data'!$AN87)</f>
        <v>0</v>
      </c>
      <c r="J85" s="54">
        <f>IF('Indicator Data'!F87="No data","x",'Indicator Data'!F87/'Indicator Data'!$AN87)</f>
        <v>0.3792676220450974</v>
      </c>
      <c r="K85" s="4">
        <f t="shared" si="22"/>
        <v>10</v>
      </c>
      <c r="L85" s="4">
        <f t="shared" si="23"/>
        <v>0</v>
      </c>
      <c r="M85" s="4">
        <f t="shared" si="24"/>
        <v>10</v>
      </c>
      <c r="N85" s="135">
        <f t="shared" ref="N85:N88" si="32">IF(AND(L85="x",M85="x"),"x",AVERAGE(L85,L85, L85,M85))</f>
        <v>2.5</v>
      </c>
      <c r="O85" s="6">
        <f t="shared" si="20"/>
        <v>8.7807073755903282</v>
      </c>
      <c r="P85" s="6">
        <f t="shared" si="21"/>
        <v>2.2148784724333321</v>
      </c>
      <c r="Q85" s="15">
        <f t="shared" si="25"/>
        <v>6.5578909568426402</v>
      </c>
      <c r="R85" s="4">
        <f>IF(VLOOKUP($B85,'Indicator Data (national)'!$B$5:$H$14,6,FALSE)="No data","x",IF(VLOOKUP($B85,'Indicator Data (national)'!$B$5:$H$14,6,FALSE)&gt;R$149,10,IF(VLOOKUP($B85,'Indicator Data (national)'!$B$5:$H$14,6,FALSE)&lt;R$150,0,10-(R$149-VLOOKUP($B85,'Indicator Data (national)'!$B$5:$H$14,6,FALSE))/(R$149-R$150)*10)))</f>
        <v>9.5239467647379001</v>
      </c>
      <c r="S85" s="4">
        <f>IF(VLOOKUP($B85,'Indicator Data (national)'!$B$5:$H$14,7,FALSE)="No data","x",IF(VLOOKUP($B85,'Indicator Data (national)'!$B$5:$H$14,7,FALSE)&gt;S$149,10,IF(VLOOKUP($B85,'Indicator Data (national)'!$B$5:$H$14,7,FALSE)&lt;S$150,0,10-(S$149-VLOOKUP($B85,'Indicator Data (national)'!$B$5:$H$14,7,FALSE))/(S$149-S$150)*10)))</f>
        <v>6.420295095728985</v>
      </c>
      <c r="T85" s="138">
        <f t="shared" si="26"/>
        <v>8.3825408014047689</v>
      </c>
      <c r="U85" s="6">
        <f>IF('Indicator Data'!G87=5,10,IF('Indicator Data'!G87=4,8,IF('Indicator Data'!G87=3,5,IF('Indicator Data'!G87=2,2,IF('Indicator Data'!G87=1,1,0)))))</f>
        <v>8</v>
      </c>
      <c r="V85" s="4">
        <f>IF('Indicator Data'!H87="No data","x",IF('Indicator Data'!H87&gt;1000,10,IF('Indicator Data'!H87&gt;=500,9,IF('Indicator Data'!H87&gt;=240,8,IF('Indicator Data'!H87&gt;=120,7,IF('Indicator Data'!H87&gt;=60,6,IF('Indicator Data'!H87&gt;=20,5,IF('Indicator Data'!H87&gt;=10,4,IF('Indicator Data'!H87&gt;=5,3,0)))))))))</f>
        <v>3</v>
      </c>
      <c r="W85" s="6">
        <f t="shared" si="27"/>
        <v>8</v>
      </c>
      <c r="X85" s="4">
        <f>IF('Indicator Data'!K87="No data","x",IF('Indicator Data'!K87&gt;X$149,0,IF('Indicator Data'!K87&lt;X$150,10,(X$149-'Indicator Data'!K87)/(X$149-X$150)*10)))</f>
        <v>3.7401999999999997</v>
      </c>
      <c r="Y85" s="6">
        <f t="shared" si="28"/>
        <v>5.8700999999999999</v>
      </c>
      <c r="Z85" s="7">
        <f t="shared" si="29"/>
        <v>6.5142660000000001</v>
      </c>
      <c r="AA85" s="139">
        <f t="shared" si="30"/>
        <v>8</v>
      </c>
    </row>
    <row r="86" spans="1:27" s="11" customFormat="1" x14ac:dyDescent="0.25">
      <c r="A86" s="16" t="s">
        <v>453</v>
      </c>
      <c r="B86" s="11" t="s">
        <v>576</v>
      </c>
      <c r="C86" s="126" t="s">
        <v>678</v>
      </c>
      <c r="D86" s="4">
        <f>IF('Indicator Data'!D88="No data","x",IF('Indicator Data'!D88=0,0,IF(LOG('Indicator Data'!D88)&gt;D$149,10,IF(LOG('Indicator Data'!D88)&lt;D$150,0,10-(D$149-LOG('Indicator Data'!D88))/(D$149-D$150)*10))))</f>
        <v>6.321707141810923</v>
      </c>
      <c r="E86" s="4">
        <f>IF('Indicator Data'!E88="No data","x",IF('Indicator Data'!E88=0,0,IF(LOG('Indicator Data'!E88)&gt;E$149,10,IF(LOG('Indicator Data'!E88)&lt;E$150,0,10-(E$149-LOG('Indicator Data'!E88))/(E$149-E$150)*10))))</f>
        <v>0</v>
      </c>
      <c r="F86" s="4">
        <f>IF('Indicator Data'!F88="No data","x",IF('Indicator Data'!F88=0,0,IF(LOG('Indicator Data'!F88)&gt;F$149,10,IF(LOG('Indicator Data'!F88)&lt;F$150,0,10-(F$149-LOG('Indicator Data'!F88))/(F$149-F$150)*10))))</f>
        <v>4.2815090249714647</v>
      </c>
      <c r="G86" s="135">
        <f t="shared" si="31"/>
        <v>1.0703772562428662</v>
      </c>
      <c r="H86" s="54">
        <f>IF('Indicator Data'!D88="No data","x",'Indicator Data'!D88/'Indicator Data'!AN88)</f>
        <v>0.42919379439999744</v>
      </c>
      <c r="I86" s="54">
        <f>IF('Indicator Data'!E88="No data","x",'Indicator Data'!E88/'Indicator Data'!$AN88)</f>
        <v>0</v>
      </c>
      <c r="J86" s="54">
        <f>IF('Indicator Data'!F88="No data","x",'Indicator Data'!F88/'Indicator Data'!$AN88)</f>
        <v>5.9753568929434035E-3</v>
      </c>
      <c r="K86" s="4">
        <f t="shared" si="22"/>
        <v>10</v>
      </c>
      <c r="L86" s="4">
        <f t="shared" si="23"/>
        <v>0</v>
      </c>
      <c r="M86" s="4">
        <f t="shared" si="24"/>
        <v>0.29876784464716977</v>
      </c>
      <c r="N86" s="135">
        <f t="shared" si="32"/>
        <v>7.4691961161792442E-2</v>
      </c>
      <c r="O86" s="6">
        <f t="shared" si="20"/>
        <v>8.8042604514694638</v>
      </c>
      <c r="P86" s="6">
        <f t="shared" si="21"/>
        <v>0.58430022673533499</v>
      </c>
      <c r="Q86" s="15">
        <f t="shared" si="25"/>
        <v>6.1832535002882159</v>
      </c>
      <c r="R86" s="4">
        <f>IF(VLOOKUP($B86,'Indicator Data (national)'!$B$5:$H$14,6,FALSE)="No data","x",IF(VLOOKUP($B86,'Indicator Data (national)'!$B$5:$H$14,6,FALSE)&gt;R$149,10,IF(VLOOKUP($B86,'Indicator Data (national)'!$B$5:$H$14,6,FALSE)&lt;R$150,0,10-(R$149-VLOOKUP($B86,'Indicator Data (national)'!$B$5:$H$14,6,FALSE))/(R$149-R$150)*10)))</f>
        <v>9.5239467647379001</v>
      </c>
      <c r="S86" s="4">
        <f>IF(VLOOKUP($B86,'Indicator Data (national)'!$B$5:$H$14,7,FALSE)="No data","x",IF(VLOOKUP($B86,'Indicator Data (national)'!$B$5:$H$14,7,FALSE)&gt;S$149,10,IF(VLOOKUP($B86,'Indicator Data (national)'!$B$5:$H$14,7,FALSE)&lt;S$150,0,10-(S$149-VLOOKUP($B86,'Indicator Data (national)'!$B$5:$H$14,7,FALSE))/(S$149-S$150)*10)))</f>
        <v>6.420295095728985</v>
      </c>
      <c r="T86" s="138">
        <f t="shared" si="26"/>
        <v>8.3825408014047689</v>
      </c>
      <c r="U86" s="6">
        <f>IF('Indicator Data'!G88=5,10,IF('Indicator Data'!G88=4,8,IF('Indicator Data'!G88=3,5,IF('Indicator Data'!G88=2,2,IF('Indicator Data'!G88=1,1,0)))))</f>
        <v>0</v>
      </c>
      <c r="V86" s="4">
        <f>IF('Indicator Data'!H88="No data","x",IF('Indicator Data'!H88&gt;1000,10,IF('Indicator Data'!H88&gt;=500,9,IF('Indicator Data'!H88&gt;=240,8,IF('Indicator Data'!H88&gt;=120,7,IF('Indicator Data'!H88&gt;=60,6,IF('Indicator Data'!H88&gt;=20,5,IF('Indicator Data'!H88&gt;=10,4,IF('Indicator Data'!H88&gt;=5,3,0)))))))))</f>
        <v>4</v>
      </c>
      <c r="W86" s="6">
        <f t="shared" si="27"/>
        <v>4</v>
      </c>
      <c r="X86" s="4">
        <f>IF('Indicator Data'!K88="No data","x",IF('Indicator Data'!K88&gt;X$149,0,IF('Indicator Data'!K88&lt;X$150,10,(X$149-'Indicator Data'!K88)/(X$149-X$150)*10)))</f>
        <v>3.7458</v>
      </c>
      <c r="Y86" s="6">
        <f t="shared" si="28"/>
        <v>1.8729</v>
      </c>
      <c r="Z86" s="7">
        <f t="shared" si="29"/>
        <v>2.556114</v>
      </c>
      <c r="AA86" s="139">
        <f t="shared" si="30"/>
        <v>6.1912704007023844</v>
      </c>
    </row>
    <row r="87" spans="1:27" s="11" customFormat="1" x14ac:dyDescent="0.25">
      <c r="A87" s="16" t="s">
        <v>454</v>
      </c>
      <c r="B87" s="11" t="s">
        <v>576</v>
      </c>
      <c r="C87" s="126" t="s">
        <v>679</v>
      </c>
      <c r="D87" s="4">
        <f>IF('Indicator Data'!D89="No data","x",IF('Indicator Data'!D89=0,0,IF(LOG('Indicator Data'!D89)&gt;D$149,10,IF(LOG('Indicator Data'!D89)&lt;D$150,0,10-(D$149-LOG('Indicator Data'!D89))/(D$149-D$150)*10))))</f>
        <v>5.0166516173190052</v>
      </c>
      <c r="E87" s="4">
        <f>IF('Indicator Data'!E89="No data","x",IF('Indicator Data'!E89=0,0,IF(LOG('Indicator Data'!E89)&gt;E$149,10,IF(LOG('Indicator Data'!E89)&lt;E$150,0,10-(E$149-LOG('Indicator Data'!E89))/(E$149-E$150)*10))))</f>
        <v>7.8541902897852154</v>
      </c>
      <c r="F87" s="4">
        <f>IF('Indicator Data'!F89="No data","x",IF('Indicator Data'!F89=0,0,IF(LOG('Indicator Data'!F89)&gt;F$149,10,IF(LOG('Indicator Data'!F89)&lt;F$150,0,10-(F$149-LOG('Indicator Data'!F89))/(F$149-F$150)*10))))</f>
        <v>0</v>
      </c>
      <c r="G87" s="135">
        <f t="shared" si="31"/>
        <v>5.8906427173389115</v>
      </c>
      <c r="H87" s="54">
        <f>IF('Indicator Data'!D89="No data","x",'Indicator Data'!D89/'Indicator Data'!AN89)</f>
        <v>4.2620722412257048E-2</v>
      </c>
      <c r="I87" s="54">
        <f>IF('Indicator Data'!E89="No data","x",'Indicator Data'!E89/'Indicator Data'!$AN89)</f>
        <v>0.6768288282614372</v>
      </c>
      <c r="J87" s="54">
        <f>IF('Indicator Data'!F89="No data","x",'Indicator Data'!F89/'Indicator Data'!$AN89)</f>
        <v>0</v>
      </c>
      <c r="K87" s="4">
        <f t="shared" si="22"/>
        <v>2.131036120612853</v>
      </c>
      <c r="L87" s="4">
        <f t="shared" si="23"/>
        <v>10</v>
      </c>
      <c r="M87" s="4">
        <f t="shared" si="24"/>
        <v>0</v>
      </c>
      <c r="N87" s="135">
        <f t="shared" si="32"/>
        <v>7.5</v>
      </c>
      <c r="O87" s="6">
        <f t="shared" si="20"/>
        <v>3.7132260565291486</v>
      </c>
      <c r="P87" s="6">
        <f t="shared" si="21"/>
        <v>6.7692576564266762</v>
      </c>
      <c r="Q87" s="15">
        <f t="shared" si="25"/>
        <v>5.4436131815486268</v>
      </c>
      <c r="R87" s="4">
        <f>IF(VLOOKUP($B87,'Indicator Data (national)'!$B$5:$H$14,6,FALSE)="No data","x",IF(VLOOKUP($B87,'Indicator Data (national)'!$B$5:$H$14,6,FALSE)&gt;R$149,10,IF(VLOOKUP($B87,'Indicator Data (national)'!$B$5:$H$14,6,FALSE)&lt;R$150,0,10-(R$149-VLOOKUP($B87,'Indicator Data (national)'!$B$5:$H$14,6,FALSE))/(R$149-R$150)*10)))</f>
        <v>9.5239467647379001</v>
      </c>
      <c r="S87" s="4">
        <f>IF(VLOOKUP($B87,'Indicator Data (national)'!$B$5:$H$14,7,FALSE)="No data","x",IF(VLOOKUP($B87,'Indicator Data (national)'!$B$5:$H$14,7,FALSE)&gt;S$149,10,IF(VLOOKUP($B87,'Indicator Data (national)'!$B$5:$H$14,7,FALSE)&lt;S$150,0,10-(S$149-VLOOKUP($B87,'Indicator Data (national)'!$B$5:$H$14,7,FALSE))/(S$149-S$150)*10)))</f>
        <v>6.420295095728985</v>
      </c>
      <c r="T87" s="138">
        <f t="shared" si="26"/>
        <v>8.3825408014047689</v>
      </c>
      <c r="U87" s="6">
        <f>IF('Indicator Data'!G89=5,10,IF('Indicator Data'!G89=4,8,IF('Indicator Data'!G89=3,5,IF('Indicator Data'!G89=2,2,IF('Indicator Data'!G89=1,1,0)))))</f>
        <v>5</v>
      </c>
      <c r="V87" s="4">
        <f>IF('Indicator Data'!H89="No data","x",IF('Indicator Data'!H89&gt;1000,10,IF('Indicator Data'!H89&gt;=500,9,IF('Indicator Data'!H89&gt;=240,8,IF('Indicator Data'!H89&gt;=120,7,IF('Indicator Data'!H89&gt;=60,6,IF('Indicator Data'!H89&gt;=20,5,IF('Indicator Data'!H89&gt;=10,4,IF('Indicator Data'!H89&gt;=5,3,0)))))))))</f>
        <v>6</v>
      </c>
      <c r="W87" s="6">
        <f t="shared" si="27"/>
        <v>6</v>
      </c>
      <c r="X87" s="4">
        <f>IF('Indicator Data'!K89="No data","x",IF('Indicator Data'!K89&gt;X$149,0,IF('Indicator Data'!K89&lt;X$150,10,(X$149-'Indicator Data'!K89)/(X$149-X$150)*10)))</f>
        <v>3.5364</v>
      </c>
      <c r="Y87" s="6">
        <f t="shared" si="28"/>
        <v>4.2682000000000002</v>
      </c>
      <c r="Z87" s="7">
        <f t="shared" si="29"/>
        <v>4.7970120000000005</v>
      </c>
      <c r="AA87" s="139">
        <f t="shared" si="30"/>
        <v>7.1912704007023844</v>
      </c>
    </row>
    <row r="88" spans="1:27" s="11" customFormat="1" x14ac:dyDescent="0.25">
      <c r="A88" s="16" t="s">
        <v>455</v>
      </c>
      <c r="B88" s="11" t="s">
        <v>576</v>
      </c>
      <c r="C88" s="126" t="s">
        <v>680</v>
      </c>
      <c r="D88" s="4">
        <f>IF('Indicator Data'!D90="No data","x",IF('Indicator Data'!D90=0,0,IF(LOG('Indicator Data'!D90)&gt;D$149,10,IF(LOG('Indicator Data'!D90)&lt;D$150,0,10-(D$149-LOG('Indicator Data'!D90))/(D$149-D$150)*10))))</f>
        <v>5.7639554109448357</v>
      </c>
      <c r="E88" s="4">
        <f>IF('Indicator Data'!E90="No data","x",IF('Indicator Data'!E90=0,0,IF(LOG('Indicator Data'!E90)&gt;E$149,10,IF(LOG('Indicator Data'!E90)&lt;E$150,0,10-(E$149-LOG('Indicator Data'!E90))/(E$149-E$150)*10))))</f>
        <v>5.8606498728135614</v>
      </c>
      <c r="F88" s="4">
        <f>IF('Indicator Data'!F90="No data","x",IF('Indicator Data'!F90=0,0,IF(LOG('Indicator Data'!F90)&gt;F$149,10,IF(LOG('Indicator Data'!F90)&lt;F$150,0,10-(F$149-LOG('Indicator Data'!F90))/(F$149-F$150)*10))))</f>
        <v>6.4970706064723283</v>
      </c>
      <c r="G88" s="135">
        <f>IF(AND(E88="x",F88="x"),"x",AVERAGE(E88,E88,E88,F88))</f>
        <v>6.0197550562282531</v>
      </c>
      <c r="H88" s="54">
        <f>IF('Indicator Data'!D90="No data","x",'Indicator Data'!D90/'Indicator Data'!AN90)</f>
        <v>0.18679672116449009</v>
      </c>
      <c r="I88" s="54">
        <f>IF('Indicator Data'!E90="No data","x",'Indicator Data'!E90/'Indicator Data'!$AN90)</f>
        <v>5.6622675278725158E-2</v>
      </c>
      <c r="J88" s="54">
        <f>IF('Indicator Data'!F90="No data","x",'Indicator Data'!F90/'Indicator Data'!$AN90)</f>
        <v>0.13640893713726071</v>
      </c>
      <c r="K88" s="4">
        <f t="shared" si="22"/>
        <v>9.3398360582245044</v>
      </c>
      <c r="L88" s="4">
        <f t="shared" si="23"/>
        <v>2.8311337639362577</v>
      </c>
      <c r="M88" s="4">
        <f t="shared" si="24"/>
        <v>6.8204468568630352</v>
      </c>
      <c r="N88" s="135">
        <f t="shared" si="32"/>
        <v>3.8284620371679523</v>
      </c>
      <c r="O88" s="6">
        <f t="shared" si="20"/>
        <v>8.0335660674756895</v>
      </c>
      <c r="P88" s="6">
        <f t="shared" si="21"/>
        <v>5.0218944572049997</v>
      </c>
      <c r="Q88" s="15">
        <f t="shared" si="25"/>
        <v>6.782157596362886</v>
      </c>
      <c r="R88" s="4">
        <f>IF(VLOOKUP($B88,'Indicator Data (national)'!$B$5:$H$14,6,FALSE)="No data","x",IF(VLOOKUP($B88,'Indicator Data (national)'!$B$5:$H$14,6,FALSE)&gt;R$149,10,IF(VLOOKUP($B88,'Indicator Data (national)'!$B$5:$H$14,6,FALSE)&lt;R$150,0,10-(R$149-VLOOKUP($B88,'Indicator Data (national)'!$B$5:$H$14,6,FALSE))/(R$149-R$150)*10)))</f>
        <v>9.5239467647379001</v>
      </c>
      <c r="S88" s="4">
        <f>IF(VLOOKUP($B88,'Indicator Data (national)'!$B$5:$H$14,7,FALSE)="No data","x",IF(VLOOKUP($B88,'Indicator Data (national)'!$B$5:$H$14,7,FALSE)&gt;S$149,10,IF(VLOOKUP($B88,'Indicator Data (national)'!$B$5:$H$14,7,FALSE)&lt;S$150,0,10-(S$149-VLOOKUP($B88,'Indicator Data (national)'!$B$5:$H$14,7,FALSE))/(S$149-S$150)*10)))</f>
        <v>6.420295095728985</v>
      </c>
      <c r="T88" s="138">
        <f t="shared" si="26"/>
        <v>8.3825408014047689</v>
      </c>
      <c r="U88" s="6">
        <f>IF('Indicator Data'!G90=5,10,IF('Indicator Data'!G90=4,8,IF('Indicator Data'!G90=3,5,IF('Indicator Data'!G90=2,2,IF('Indicator Data'!G90=1,1,0)))))</f>
        <v>8</v>
      </c>
      <c r="V88" s="4">
        <f>IF('Indicator Data'!H90="No data","x",IF('Indicator Data'!H90&gt;1000,10,IF('Indicator Data'!H90&gt;=500,9,IF('Indicator Data'!H90&gt;=240,8,IF('Indicator Data'!H90&gt;=120,7,IF('Indicator Data'!H90&gt;=60,6,IF('Indicator Data'!H90&gt;=20,5,IF('Indicator Data'!H90&gt;=10,4,IF('Indicator Data'!H90&gt;=5,3,0)))))))))</f>
        <v>4</v>
      </c>
      <c r="W88" s="6">
        <f t="shared" si="27"/>
        <v>8</v>
      </c>
      <c r="X88" s="4">
        <f>IF('Indicator Data'!K90="No data","x",IF('Indicator Data'!K90&gt;X$149,0,IF('Indicator Data'!K90&lt;X$150,10,(X$149-'Indicator Data'!K90)/(X$149-X$150)*10)))</f>
        <v>3.6912000000000003</v>
      </c>
      <c r="Y88" s="6">
        <f t="shared" si="28"/>
        <v>5.8456000000000001</v>
      </c>
      <c r="Z88" s="7">
        <f t="shared" si="29"/>
        <v>6.4980960000000003</v>
      </c>
      <c r="AA88" s="139">
        <f t="shared" si="30"/>
        <v>8</v>
      </c>
    </row>
    <row r="89" spans="1:27" s="11" customFormat="1" x14ac:dyDescent="0.25">
      <c r="A89" s="16" t="s">
        <v>457</v>
      </c>
      <c r="B89" s="11" t="s">
        <v>577</v>
      </c>
      <c r="C89" s="126" t="s">
        <v>458</v>
      </c>
      <c r="D89" s="4">
        <f>IF(LOG(VLOOKUP($B89,'Indicator Data (national)'!$B$5:$H$14,2,FALSE))&gt;$D$151,10,IF(LOG(VLOOKUP($B89,'Indicator Data (national)'!$B$5:$H$14,2,FALSE))&lt;$D$152,0,10-($D$151-LOG(VLOOKUP($B89,'Indicator Data (national)'!$B$5:$H$14,2,FALSE)))/($D$151-$D$152)*10))</f>
        <v>3.1910255909804146</v>
      </c>
      <c r="E89" s="4">
        <f>IF(LOG(VLOOKUP($B89,'Indicator Data (national)'!$B$5:$H$14,3,FALSE))&gt;$E$151,10,IF(LOG(VLOOKUP($B89,'Indicator Data (national)'!$B$5:$H$14,3,FALSE))&lt;$E$152,0,10-($E$151-LOG(VLOOKUP($B89,'Indicator Data (national)'!$B$5:$H$14,3,FALSE)))/($E$151-$E$152)*10))</f>
        <v>2.7935385729527535</v>
      </c>
      <c r="F89" s="4">
        <f>IF(LOG(VLOOKUP($B89,'Indicator Data (national)'!$B$5:$H$14,3,FALSE))&gt;$F$151,10,IF(LOG(VLOOKUP($B89,'Indicator Data (national)'!$B$5:$H$14,3,FALSE))&lt;$F$152,0,10-($F$151-LOG(VLOOKUP($B89,'Indicator Data (national)'!$B$5:$H$14,3,FALSE)))/($F$151-$F$152)*10))</f>
        <v>2.7935385729527535</v>
      </c>
      <c r="G89" s="135">
        <f>IF(AND(E89="x",F89="x"),"x",(10-GEOMEAN(((10-E89)/10*9+1),((10-F89)/10*9+1)))/9*10)</f>
        <v>2.793538572952754</v>
      </c>
      <c r="H89" s="54">
        <f>VLOOKUP($B89,'Indicator Data (national)'!$B$5:$C$14,2,FALSE)/VLOOKUP($B89,'Indicator Data (national)'!$B$5:$AM$14,38,FALSE)</f>
        <v>6.3227496199641964E-4</v>
      </c>
      <c r="I89" s="54">
        <f>VLOOKUP($B89,'Indicator Data (national)'!$B$5:$D$14,3,FALSE)/VLOOKUP($B89,'Indicator Data (national)'!$B$5:$AM$14,38,FALSE)</f>
        <v>6.9173054659092048E-3</v>
      </c>
      <c r="J89" s="54">
        <f>VLOOKUP($B89,'Indicator Data (national)'!$B$5:$D$14,3,FALSE)/VLOOKUP($B89,'Indicator Data (national)'!$B$5:$AM$14,38,FALSE)</f>
        <v>6.9173054659092048E-3</v>
      </c>
      <c r="K89" s="4">
        <f>IF(H89="x","x",IF(H89&gt;0.7%,10,IF(H89&lt;0,0,10-(0.7%-H89)/(0.7%-0)*10)))</f>
        <v>0.90324994570917205</v>
      </c>
      <c r="L89" s="4">
        <f t="shared" ref="L89:M93" si="33">IF(I89="x","x",IF(I89&gt;3%,10,IF(I89&lt;0,0,10-(3%-I89)/(3%-0)*10)))</f>
        <v>2.3057684886364012</v>
      </c>
      <c r="M89" s="4">
        <f t="shared" si="33"/>
        <v>2.3057684886364012</v>
      </c>
      <c r="N89" s="135">
        <f>IF(AND(L89="x",M89="x"),"x",(10-GEOMEAN(((10-L89)/10*9+1),((10-M89)/10*9+1)))/9*10)</f>
        <v>2.3057684886364012</v>
      </c>
      <c r="O89" s="6">
        <f t="shared" si="20"/>
        <v>2.1196077102551474</v>
      </c>
      <c r="P89" s="6">
        <f t="shared" si="21"/>
        <v>2.5531279383202854</v>
      </c>
      <c r="Q89" s="15">
        <f t="shared" si="25"/>
        <v>2.3390455161319661</v>
      </c>
      <c r="R89" s="4">
        <f>IF(VLOOKUP($B89,'Indicator Data (national)'!$B$5:$H$14,6,FALSE)="No data","x",IF(VLOOKUP($B89,'Indicator Data (national)'!$B$5:$H$14,6,FALSE)&gt;R$149,10,IF(VLOOKUP($B89,'Indicator Data (national)'!$B$5:$H$14,6,FALSE)&lt;R$150,0,10-(R$149-VLOOKUP($B89,'Indicator Data (national)'!$B$5:$H$14,6,FALSE))/(R$149-R$150)*10)))</f>
        <v>1.5984932992440566</v>
      </c>
      <c r="S89" s="4">
        <f>IF(VLOOKUP($B89,'Indicator Data (national)'!$B$5:$H$14,7,FALSE)="No data","x",IF(VLOOKUP($B89,'Indicator Data (national)'!$B$5:$H$14,7,FALSE)&gt;S$149,10,IF(VLOOKUP($B89,'Indicator Data (national)'!$B$5:$H$14,7,FALSE)&lt;S$150,0,10-(S$149-VLOOKUP($B89,'Indicator Data (national)'!$B$5:$H$14,7,FALSE))/(S$149-S$150)*10)))</f>
        <v>0.31678039263927538</v>
      </c>
      <c r="T89" s="138">
        <f t="shared" si="26"/>
        <v>0.97788148479162729</v>
      </c>
      <c r="U89" s="6">
        <f>IF('Indicator Data'!G91=5,10,IF('Indicator Data'!G91=4,8,IF('Indicator Data'!G91=3,5,IF('Indicator Data'!G91=2,2,IF('Indicator Data'!G91=1,1,0)))))</f>
        <v>0</v>
      </c>
      <c r="V89" s="4">
        <f>IF('Indicator Data'!H91="No data","x",IF('Indicator Data'!H91&gt;1000,10,IF('Indicator Data'!H91&gt;=500,9,IF('Indicator Data'!H91&gt;=240,8,IF('Indicator Data'!H91&gt;=120,7,IF('Indicator Data'!H91&gt;=60,6,IF('Indicator Data'!H91&gt;=20,5,IF('Indicator Data'!H91&gt;=10,4,IF('Indicator Data'!H91&gt;=5,3,0)))))))))</f>
        <v>0</v>
      </c>
      <c r="W89" s="6">
        <f t="shared" si="27"/>
        <v>0</v>
      </c>
      <c r="X89" s="4">
        <f>IF('Indicator Data'!K91="No data","x",IF('Indicator Data'!K91&gt;X$149,0,IF('Indicator Data'!K91&lt;X$150,10,(X$149-'Indicator Data'!K91)/(X$149-X$150)*10)))</f>
        <v>4.1799080363481149</v>
      </c>
      <c r="Y89" s="6">
        <f t="shared" si="28"/>
        <v>2.0899540181740575</v>
      </c>
      <c r="Z89" s="7">
        <f t="shared" si="29"/>
        <v>1.3793696519948779</v>
      </c>
      <c r="AA89" s="139">
        <f t="shared" si="30"/>
        <v>0.48894074239581364</v>
      </c>
    </row>
    <row r="90" spans="1:27" s="11" customFormat="1" x14ac:dyDescent="0.25">
      <c r="A90" s="16" t="s">
        <v>459</v>
      </c>
      <c r="B90" s="11" t="s">
        <v>577</v>
      </c>
      <c r="C90" s="126" t="s">
        <v>460</v>
      </c>
      <c r="D90" s="4">
        <f>IF(LOG(VLOOKUP($B90,'Indicator Data (national)'!$B$5:$H$14,2,FALSE))&gt;$D$151,10,IF(LOG(VLOOKUP($B90,'Indicator Data (national)'!$B$5:$H$14,2,FALSE))&lt;$D$152,0,10-($D$151-LOG(VLOOKUP($B90,'Indicator Data (national)'!$B$5:$H$14,2,FALSE)))/($D$151-$D$152)*10))</f>
        <v>3.1910255909804146</v>
      </c>
      <c r="E90" s="4">
        <f>IF(LOG(VLOOKUP($B90,'Indicator Data (national)'!$B$5:$H$14,3,FALSE))&gt;$E$151,10,IF(LOG(VLOOKUP($B90,'Indicator Data (national)'!$B$5:$H$14,3,FALSE))&lt;$E$152,0,10-($E$151-LOG(VLOOKUP($B90,'Indicator Data (national)'!$B$5:$H$14,3,FALSE)))/($E$151-$E$152)*10))</f>
        <v>2.7935385729527535</v>
      </c>
      <c r="F90" s="4">
        <f>IF(LOG(VLOOKUP($B90,'Indicator Data (national)'!$B$5:$H$14,3,FALSE))&gt;$F$151,10,IF(LOG(VLOOKUP($B90,'Indicator Data (national)'!$B$5:$H$14,3,FALSE))&lt;$F$152,0,10-($F$151-LOG(VLOOKUP($B90,'Indicator Data (national)'!$B$5:$H$14,3,FALSE)))/($F$151-$F$152)*10))</f>
        <v>2.7935385729527535</v>
      </c>
      <c r="G90" s="135">
        <f>IF(AND(E90="x",F90="x"),"x",(10-GEOMEAN(((10-E90)/10*9+1),((10-F90)/10*9+1)))/9*10)</f>
        <v>2.793538572952754</v>
      </c>
      <c r="H90" s="54">
        <f>VLOOKUP($B90,'Indicator Data (national)'!$B$5:$C$14,2,FALSE)/VLOOKUP($B90,'Indicator Data (national)'!$B$5:$AM$14,38,FALSE)</f>
        <v>6.3227496199641964E-4</v>
      </c>
      <c r="I90" s="54">
        <f>VLOOKUP($B90,'Indicator Data (national)'!$B$5:$D$14,3,FALSE)/VLOOKUP($B90,'Indicator Data (national)'!$B$5:$AM$14,38,FALSE)</f>
        <v>6.9173054659092048E-3</v>
      </c>
      <c r="J90" s="54">
        <f>VLOOKUP($B90,'Indicator Data (national)'!$B$5:$D$14,3,FALSE)/VLOOKUP($B90,'Indicator Data (national)'!$B$5:$AM$14,38,FALSE)</f>
        <v>6.9173054659092048E-3</v>
      </c>
      <c r="K90" s="4">
        <f>IF(H90="x","x",IF(H90&gt;0.7%,10,IF(H90&lt;0,0,10-(0.7%-H90)/(0.7%-0)*10)))</f>
        <v>0.90324994570917205</v>
      </c>
      <c r="L90" s="4">
        <f t="shared" si="33"/>
        <v>2.3057684886364012</v>
      </c>
      <c r="M90" s="4">
        <f t="shared" si="33"/>
        <v>2.3057684886364012</v>
      </c>
      <c r="N90" s="135">
        <f>IF(AND(L90="x",M90="x"),"x",(10-GEOMEAN(((10-L90)/10*9+1),((10-M90)/10*9+1)))/9*10)</f>
        <v>2.3057684886364012</v>
      </c>
      <c r="O90" s="6">
        <f t="shared" si="20"/>
        <v>2.1196077102551474</v>
      </c>
      <c r="P90" s="6">
        <f t="shared" si="21"/>
        <v>2.5531279383202854</v>
      </c>
      <c r="Q90" s="15">
        <f t="shared" si="25"/>
        <v>2.3390455161319661</v>
      </c>
      <c r="R90" s="4">
        <f>IF(VLOOKUP($B90,'Indicator Data (national)'!$B$5:$H$14,6,FALSE)="No data","x",IF(VLOOKUP($B90,'Indicator Data (national)'!$B$5:$H$14,6,FALSE)&gt;R$149,10,IF(VLOOKUP($B90,'Indicator Data (national)'!$B$5:$H$14,6,FALSE)&lt;R$150,0,10-(R$149-VLOOKUP($B90,'Indicator Data (national)'!$B$5:$H$14,6,FALSE))/(R$149-R$150)*10)))</f>
        <v>1.5984932992440566</v>
      </c>
      <c r="S90" s="4">
        <f>IF(VLOOKUP($B90,'Indicator Data (national)'!$B$5:$H$14,7,FALSE)="No data","x",IF(VLOOKUP($B90,'Indicator Data (national)'!$B$5:$H$14,7,FALSE)&gt;S$149,10,IF(VLOOKUP($B90,'Indicator Data (national)'!$B$5:$H$14,7,FALSE)&lt;S$150,0,10-(S$149-VLOOKUP($B90,'Indicator Data (national)'!$B$5:$H$14,7,FALSE))/(S$149-S$150)*10)))</f>
        <v>0.31678039263927538</v>
      </c>
      <c r="T90" s="138">
        <f t="shared" si="26"/>
        <v>0.97788148479162729</v>
      </c>
      <c r="U90" s="6">
        <f>IF('Indicator Data'!G92=5,10,IF('Indicator Data'!G92=4,8,IF('Indicator Data'!G92=3,5,IF('Indicator Data'!G92=2,2,IF('Indicator Data'!G92=1,1,0)))))</f>
        <v>5</v>
      </c>
      <c r="V90" s="4">
        <f>IF('Indicator Data'!H92="No data","x",IF('Indicator Data'!H92&gt;1000,10,IF('Indicator Data'!H92&gt;=500,9,IF('Indicator Data'!H92&gt;=240,8,IF('Indicator Data'!H92&gt;=120,7,IF('Indicator Data'!H92&gt;=60,6,IF('Indicator Data'!H92&gt;=20,5,IF('Indicator Data'!H92&gt;=10,4,IF('Indicator Data'!H92&gt;=5,3,0)))))))))</f>
        <v>5</v>
      </c>
      <c r="W90" s="6">
        <f t="shared" si="27"/>
        <v>5</v>
      </c>
      <c r="X90" s="4">
        <f>IF('Indicator Data'!K92="No data","x",IF('Indicator Data'!K92&gt;X$149,0,IF('Indicator Data'!K92&lt;X$150,10,(X$149-'Indicator Data'!K92)/(X$149-X$150)*10)))</f>
        <v>4.1799080363481149</v>
      </c>
      <c r="Y90" s="6">
        <f t="shared" si="28"/>
        <v>4.5899540181740575</v>
      </c>
      <c r="Z90" s="7">
        <f t="shared" si="29"/>
        <v>4.679369651994878</v>
      </c>
      <c r="AA90" s="139">
        <f t="shared" si="30"/>
        <v>2.9889407423958136</v>
      </c>
    </row>
    <row r="91" spans="1:27" s="11" customFormat="1" x14ac:dyDescent="0.25">
      <c r="A91" s="16" t="s">
        <v>461</v>
      </c>
      <c r="B91" s="11" t="s">
        <v>577</v>
      </c>
      <c r="C91" s="126" t="s">
        <v>462</v>
      </c>
      <c r="D91" s="4">
        <f>IF(LOG(VLOOKUP($B91,'Indicator Data (national)'!$B$5:$H$14,2,FALSE))&gt;$D$151,10,IF(LOG(VLOOKUP($B91,'Indicator Data (national)'!$B$5:$H$14,2,FALSE))&lt;$D$152,0,10-($D$151-LOG(VLOOKUP($B91,'Indicator Data (national)'!$B$5:$H$14,2,FALSE)))/($D$151-$D$152)*10))</f>
        <v>3.1910255909804146</v>
      </c>
      <c r="E91" s="4">
        <f>IF(LOG(VLOOKUP($B91,'Indicator Data (national)'!$B$5:$H$14,3,FALSE))&gt;$E$151,10,IF(LOG(VLOOKUP($B91,'Indicator Data (national)'!$B$5:$H$14,3,FALSE))&lt;$E$152,0,10-($E$151-LOG(VLOOKUP($B91,'Indicator Data (national)'!$B$5:$H$14,3,FALSE)))/($E$151-$E$152)*10))</f>
        <v>2.7935385729527535</v>
      </c>
      <c r="F91" s="4">
        <f>IF(LOG(VLOOKUP($B91,'Indicator Data (national)'!$B$5:$H$14,3,FALSE))&gt;$F$151,10,IF(LOG(VLOOKUP($B91,'Indicator Data (national)'!$B$5:$H$14,3,FALSE))&lt;$F$152,0,10-($F$151-LOG(VLOOKUP($B91,'Indicator Data (national)'!$B$5:$H$14,3,FALSE)))/($F$151-$F$152)*10))</f>
        <v>2.7935385729527535</v>
      </c>
      <c r="G91" s="135">
        <f>IF(AND(E91="x",F91="x"),"x",(10-GEOMEAN(((10-E91)/10*9+1),((10-F91)/10*9+1)))/9*10)</f>
        <v>2.793538572952754</v>
      </c>
      <c r="H91" s="54">
        <f>VLOOKUP($B91,'Indicator Data (national)'!$B$5:$C$14,2,FALSE)/VLOOKUP($B91,'Indicator Data (national)'!$B$5:$AM$14,38,FALSE)</f>
        <v>6.3227496199641964E-4</v>
      </c>
      <c r="I91" s="54">
        <f>VLOOKUP($B91,'Indicator Data (national)'!$B$5:$D$14,3,FALSE)/VLOOKUP($B91,'Indicator Data (national)'!$B$5:$AM$14,38,FALSE)</f>
        <v>6.9173054659092048E-3</v>
      </c>
      <c r="J91" s="54">
        <f>VLOOKUP($B91,'Indicator Data (national)'!$B$5:$D$14,3,FALSE)/VLOOKUP($B91,'Indicator Data (national)'!$B$5:$AM$14,38,FALSE)</f>
        <v>6.9173054659092048E-3</v>
      </c>
      <c r="K91" s="4">
        <f>IF(H91="x","x",IF(H91&gt;0.7%,10,IF(H91&lt;0,0,10-(0.7%-H91)/(0.7%-0)*10)))</f>
        <v>0.90324994570917205</v>
      </c>
      <c r="L91" s="4">
        <f t="shared" si="33"/>
        <v>2.3057684886364012</v>
      </c>
      <c r="M91" s="4">
        <f t="shared" si="33"/>
        <v>2.3057684886364012</v>
      </c>
      <c r="N91" s="135">
        <f>IF(AND(L91="x",M91="x"),"x",(10-GEOMEAN(((10-L91)/10*9+1),((10-M91)/10*9+1)))/9*10)</f>
        <v>2.3057684886364012</v>
      </c>
      <c r="O91" s="6">
        <f t="shared" si="20"/>
        <v>2.1196077102551474</v>
      </c>
      <c r="P91" s="6">
        <f t="shared" si="21"/>
        <v>2.5531279383202854</v>
      </c>
      <c r="Q91" s="15">
        <f t="shared" si="25"/>
        <v>2.3390455161319661</v>
      </c>
      <c r="R91" s="4">
        <f>IF(VLOOKUP($B91,'Indicator Data (national)'!$B$5:$H$14,6,FALSE)="No data","x",IF(VLOOKUP($B91,'Indicator Data (national)'!$B$5:$H$14,6,FALSE)&gt;R$149,10,IF(VLOOKUP($B91,'Indicator Data (national)'!$B$5:$H$14,6,FALSE)&lt;R$150,0,10-(R$149-VLOOKUP($B91,'Indicator Data (national)'!$B$5:$H$14,6,FALSE))/(R$149-R$150)*10)))</f>
        <v>1.5984932992440566</v>
      </c>
      <c r="S91" s="4">
        <f>IF(VLOOKUP($B91,'Indicator Data (national)'!$B$5:$H$14,7,FALSE)="No data","x",IF(VLOOKUP($B91,'Indicator Data (national)'!$B$5:$H$14,7,FALSE)&gt;S$149,10,IF(VLOOKUP($B91,'Indicator Data (national)'!$B$5:$H$14,7,FALSE)&lt;S$150,0,10-(S$149-VLOOKUP($B91,'Indicator Data (national)'!$B$5:$H$14,7,FALSE))/(S$149-S$150)*10)))</f>
        <v>0.31678039263927538</v>
      </c>
      <c r="T91" s="138">
        <f t="shared" si="26"/>
        <v>0.97788148479162729</v>
      </c>
      <c r="U91" s="6">
        <f>IF('Indicator Data'!G93=5,10,IF('Indicator Data'!G93=4,8,IF('Indicator Data'!G93=3,5,IF('Indicator Data'!G93=2,2,IF('Indicator Data'!G93=1,1,0)))))</f>
        <v>0</v>
      </c>
      <c r="V91" s="4">
        <f>IF('Indicator Data'!H93="No data","x",IF('Indicator Data'!H93&gt;1000,10,IF('Indicator Data'!H93&gt;=500,9,IF('Indicator Data'!H93&gt;=240,8,IF('Indicator Data'!H93&gt;=120,7,IF('Indicator Data'!H93&gt;=60,6,IF('Indicator Data'!H93&gt;=20,5,IF('Indicator Data'!H93&gt;=10,4,IF('Indicator Data'!H93&gt;=5,3,0)))))))))</f>
        <v>4</v>
      </c>
      <c r="W91" s="6">
        <f t="shared" si="27"/>
        <v>4</v>
      </c>
      <c r="X91" s="4">
        <f>IF('Indicator Data'!K93="No data","x",IF('Indicator Data'!K93&gt;X$149,0,IF('Indicator Data'!K93&lt;X$150,10,(X$149-'Indicator Data'!K93)/(X$149-X$150)*10)))</f>
        <v>4.1799080363481149</v>
      </c>
      <c r="Y91" s="6">
        <f t="shared" si="28"/>
        <v>2.0899540181740575</v>
      </c>
      <c r="Z91" s="7">
        <f t="shared" si="29"/>
        <v>2.699369651994878</v>
      </c>
      <c r="AA91" s="139">
        <f t="shared" si="30"/>
        <v>2.4889407423958136</v>
      </c>
    </row>
    <row r="92" spans="1:27" s="11" customFormat="1" x14ac:dyDescent="0.25">
      <c r="A92" s="16" t="s">
        <v>463</v>
      </c>
      <c r="B92" s="11" t="s">
        <v>577</v>
      </c>
      <c r="C92" s="126" t="s">
        <v>464</v>
      </c>
      <c r="D92" s="4">
        <f>IF(LOG(VLOOKUP($B92,'Indicator Data (national)'!$B$5:$H$14,2,FALSE))&gt;$D$151,10,IF(LOG(VLOOKUP($B92,'Indicator Data (national)'!$B$5:$H$14,2,FALSE))&lt;$D$152,0,10-($D$151-LOG(VLOOKUP($B92,'Indicator Data (national)'!$B$5:$H$14,2,FALSE)))/($D$151-$D$152)*10))</f>
        <v>3.1910255909804146</v>
      </c>
      <c r="E92" s="4">
        <f>IF(LOG(VLOOKUP($B92,'Indicator Data (national)'!$B$5:$H$14,3,FALSE))&gt;$E$151,10,IF(LOG(VLOOKUP($B92,'Indicator Data (national)'!$B$5:$H$14,3,FALSE))&lt;$E$152,0,10-($E$151-LOG(VLOOKUP($B92,'Indicator Data (national)'!$B$5:$H$14,3,FALSE)))/($E$151-$E$152)*10))</f>
        <v>2.7935385729527535</v>
      </c>
      <c r="F92" s="4">
        <f>IF(LOG(VLOOKUP($B92,'Indicator Data (national)'!$B$5:$H$14,3,FALSE))&gt;$F$151,10,IF(LOG(VLOOKUP($B92,'Indicator Data (national)'!$B$5:$H$14,3,FALSE))&lt;$F$152,0,10-($F$151-LOG(VLOOKUP($B92,'Indicator Data (national)'!$B$5:$H$14,3,FALSE)))/($F$151-$F$152)*10))</f>
        <v>2.7935385729527535</v>
      </c>
      <c r="G92" s="135">
        <f>IF(AND(E92="x",F92="x"),"x",(10-GEOMEAN(((10-E92)/10*9+1),((10-F92)/10*9+1)))/9*10)</f>
        <v>2.793538572952754</v>
      </c>
      <c r="H92" s="54">
        <f>VLOOKUP($B92,'Indicator Data (national)'!$B$5:$C$14,2,FALSE)/VLOOKUP($B92,'Indicator Data (national)'!$B$5:$AM$14,38,FALSE)</f>
        <v>6.3227496199641964E-4</v>
      </c>
      <c r="I92" s="54">
        <f>VLOOKUP($B92,'Indicator Data (national)'!$B$5:$D$14,3,FALSE)/VLOOKUP($B92,'Indicator Data (national)'!$B$5:$AM$14,38,FALSE)</f>
        <v>6.9173054659092048E-3</v>
      </c>
      <c r="J92" s="54">
        <f>VLOOKUP($B92,'Indicator Data (national)'!$B$5:$D$14,3,FALSE)/VLOOKUP($B92,'Indicator Data (national)'!$B$5:$AM$14,38,FALSE)</f>
        <v>6.9173054659092048E-3</v>
      </c>
      <c r="K92" s="4">
        <f>IF(H92="x","x",IF(H92&gt;0.7%,10,IF(H92&lt;0,0,10-(0.7%-H92)/(0.7%-0)*10)))</f>
        <v>0.90324994570917205</v>
      </c>
      <c r="L92" s="4">
        <f t="shared" si="33"/>
        <v>2.3057684886364012</v>
      </c>
      <c r="M92" s="4">
        <f t="shared" si="33"/>
        <v>2.3057684886364012</v>
      </c>
      <c r="N92" s="135">
        <f>IF(AND(L92="x",M92="x"),"x",(10-GEOMEAN(((10-L92)/10*9+1),((10-M92)/10*9+1)))/9*10)</f>
        <v>2.3057684886364012</v>
      </c>
      <c r="O92" s="6">
        <f t="shared" si="20"/>
        <v>2.1196077102551474</v>
      </c>
      <c r="P92" s="6">
        <f t="shared" si="21"/>
        <v>2.5531279383202854</v>
      </c>
      <c r="Q92" s="15">
        <f t="shared" si="25"/>
        <v>2.3390455161319661</v>
      </c>
      <c r="R92" s="4">
        <f>IF(VLOOKUP($B92,'Indicator Data (national)'!$B$5:$H$14,6,FALSE)="No data","x",IF(VLOOKUP($B92,'Indicator Data (national)'!$B$5:$H$14,6,FALSE)&gt;R$149,10,IF(VLOOKUP($B92,'Indicator Data (national)'!$B$5:$H$14,6,FALSE)&lt;R$150,0,10-(R$149-VLOOKUP($B92,'Indicator Data (national)'!$B$5:$H$14,6,FALSE))/(R$149-R$150)*10)))</f>
        <v>1.5984932992440566</v>
      </c>
      <c r="S92" s="4">
        <f>IF(VLOOKUP($B92,'Indicator Data (national)'!$B$5:$H$14,7,FALSE)="No data","x",IF(VLOOKUP($B92,'Indicator Data (national)'!$B$5:$H$14,7,FALSE)&gt;S$149,10,IF(VLOOKUP($B92,'Indicator Data (national)'!$B$5:$H$14,7,FALSE)&lt;S$150,0,10-(S$149-VLOOKUP($B92,'Indicator Data (national)'!$B$5:$H$14,7,FALSE))/(S$149-S$150)*10)))</f>
        <v>0.31678039263927538</v>
      </c>
      <c r="T92" s="138">
        <f t="shared" si="26"/>
        <v>0.97788148479162729</v>
      </c>
      <c r="U92" s="6">
        <f>IF('Indicator Data'!G94=5,10,IF('Indicator Data'!G94=4,8,IF('Indicator Data'!G94=3,5,IF('Indicator Data'!G94=2,2,IF('Indicator Data'!G94=1,1,0)))))</f>
        <v>0</v>
      </c>
      <c r="V92" s="4">
        <f>IF('Indicator Data'!H94="No data","x",IF('Indicator Data'!H94&gt;1000,10,IF('Indicator Data'!H94&gt;=500,9,IF('Indicator Data'!H94&gt;=240,8,IF('Indicator Data'!H94&gt;=120,7,IF('Indicator Data'!H94&gt;=60,6,IF('Indicator Data'!H94&gt;=20,5,IF('Indicator Data'!H94&gt;=10,4,IF('Indicator Data'!H94&gt;=5,3,0)))))))))</f>
        <v>0</v>
      </c>
      <c r="W92" s="6">
        <f t="shared" si="27"/>
        <v>0</v>
      </c>
      <c r="X92" s="4">
        <f>IF('Indicator Data'!K94="No data","x",IF('Indicator Data'!K94&gt;X$149,0,IF('Indicator Data'!K94&lt;X$150,10,(X$149-'Indicator Data'!K94)/(X$149-X$150)*10)))</f>
        <v>4.1799080363481158</v>
      </c>
      <c r="Y92" s="6">
        <f t="shared" si="28"/>
        <v>2.0899540181740579</v>
      </c>
      <c r="Z92" s="7">
        <f t="shared" si="29"/>
        <v>1.3793696519948784</v>
      </c>
      <c r="AA92" s="139">
        <f t="shared" si="30"/>
        <v>0.48894074239581364</v>
      </c>
    </row>
    <row r="93" spans="1:27" s="11" customFormat="1" x14ac:dyDescent="0.25">
      <c r="A93" s="16" t="s">
        <v>465</v>
      </c>
      <c r="B93" s="11" t="s">
        <v>577</v>
      </c>
      <c r="C93" s="126" t="s">
        <v>466</v>
      </c>
      <c r="D93" s="4">
        <f>IF(LOG(VLOOKUP($B93,'Indicator Data (national)'!$B$5:$H$14,2,FALSE))&gt;$D$151,10,IF(LOG(VLOOKUP($B93,'Indicator Data (national)'!$B$5:$H$14,2,FALSE))&lt;$D$152,0,10-($D$151-LOG(VLOOKUP($B93,'Indicator Data (national)'!$B$5:$H$14,2,FALSE)))/($D$151-$D$152)*10))</f>
        <v>3.1910255909804146</v>
      </c>
      <c r="E93" s="4">
        <f>IF(LOG(VLOOKUP($B93,'Indicator Data (national)'!$B$5:$H$14,3,FALSE))&gt;5,10,IF(LOG(VLOOKUP($B93,'Indicator Data (national)'!$B$5:$H$14,3,FALSE))&lt;1,0,10-(5-LOG(VLOOKUP($B93,'Indicator Data (national)'!$B$5:$H$14,3,FALSE)))/(5-1)*10))</f>
        <v>9.7773850053346418</v>
      </c>
      <c r="F93" s="4">
        <f>IF(LOG(VLOOKUP($B93,'Indicator Data (national)'!$B$5:$H$14,3,FALSE))&gt;5,10,IF(LOG(VLOOKUP($B93,'Indicator Data (national)'!$B$5:$H$14,3,FALSE))&lt;1,0,10-(5-LOG(VLOOKUP($B93,'Indicator Data (national)'!$B$5:$H$14,3,FALSE)))/(5-1)*10))</f>
        <v>9.7773850053346418</v>
      </c>
      <c r="G93" s="135">
        <f>IF(AND(E93="x",F93="x"),"x",(10-GEOMEAN(((10-E93)/10*9+1),((10-F93)/10*9+1)))/9*10)</f>
        <v>9.7773850053346418</v>
      </c>
      <c r="H93" s="54">
        <f>VLOOKUP($B93,'Indicator Data (national)'!$B$5:$C$14,2,FALSE)/VLOOKUP($B93,'Indicator Data (national)'!$B$5:$AM$14,38,FALSE)</f>
        <v>6.3227496199641964E-4</v>
      </c>
      <c r="I93" s="54">
        <f>VLOOKUP($B93,'Indicator Data (national)'!$B$5:$D$14,3,FALSE)/VLOOKUP($B93,'Indicator Data (national)'!$B$5:$AM$14,38,FALSE)</f>
        <v>6.9173054659092048E-3</v>
      </c>
      <c r="J93" s="54">
        <f>VLOOKUP($B93,'Indicator Data (national)'!$B$5:$D$14,3,FALSE)/VLOOKUP($B93,'Indicator Data (national)'!$B$5:$AM$14,38,FALSE)</f>
        <v>6.9173054659092048E-3</v>
      </c>
      <c r="K93" s="4">
        <f>IF(H93="x","x",IF(H93&gt;0.7%,10,IF(H93&lt;0,0,10-(0.7%-H93)/(0.7%-0)*10)))</f>
        <v>0.90324994570917205</v>
      </c>
      <c r="L93" s="4">
        <f t="shared" si="33"/>
        <v>2.3057684886364012</v>
      </c>
      <c r="M93" s="4">
        <f t="shared" si="33"/>
        <v>2.3057684886364012</v>
      </c>
      <c r="N93" s="135">
        <f>IF(AND(L93="x",M93="x"),"x",(10-GEOMEAN(((10-L93)/10*9+1),((10-M93)/10*9+1)))/9*10)</f>
        <v>2.3057684886364012</v>
      </c>
      <c r="O93" s="6">
        <f t="shared" si="20"/>
        <v>2.1196077102551474</v>
      </c>
      <c r="P93" s="6">
        <f t="shared" si="21"/>
        <v>7.6841714667781735</v>
      </c>
      <c r="Q93" s="15">
        <f t="shared" si="25"/>
        <v>5.5601346684888098</v>
      </c>
      <c r="R93" s="4">
        <f>IF(VLOOKUP($B93,'Indicator Data (national)'!$B$5:$H$14,6,FALSE)="No data","x",IF(VLOOKUP($B93,'Indicator Data (national)'!$B$5:$H$14,6,FALSE)&gt;R$149,10,IF(VLOOKUP($B93,'Indicator Data (national)'!$B$5:$H$14,6,FALSE)&lt;R$150,0,10-(R$149-VLOOKUP($B93,'Indicator Data (national)'!$B$5:$H$14,6,FALSE))/(R$149-R$150)*10)))</f>
        <v>1.5984932992440566</v>
      </c>
      <c r="S93" s="4">
        <f>IF(VLOOKUP($B93,'Indicator Data (national)'!$B$5:$H$14,7,FALSE)="No data","x",IF(VLOOKUP($B93,'Indicator Data (national)'!$B$5:$H$14,7,FALSE)&gt;S$149,10,IF(VLOOKUP($B93,'Indicator Data (national)'!$B$5:$H$14,7,FALSE)&lt;S$150,0,10-(S$149-VLOOKUP($B93,'Indicator Data (national)'!$B$5:$H$14,7,FALSE))/(S$149-S$150)*10)))</f>
        <v>0.31678039263927538</v>
      </c>
      <c r="T93" s="138">
        <f t="shared" si="26"/>
        <v>0.97788148479162729</v>
      </c>
      <c r="U93" s="6">
        <f>IF('Indicator Data'!G95=5,10,IF('Indicator Data'!G95=4,8,IF('Indicator Data'!G95=3,5,IF('Indicator Data'!G95=2,2,IF('Indicator Data'!G95=1,1,0)))))</f>
        <v>0</v>
      </c>
      <c r="V93" s="4">
        <f>IF('Indicator Data'!H95="No data","x",IF('Indicator Data'!H95&gt;1000,10,IF('Indicator Data'!H95&gt;=500,9,IF('Indicator Data'!H95&gt;=240,8,IF('Indicator Data'!H95&gt;=120,7,IF('Indicator Data'!H95&gt;=60,6,IF('Indicator Data'!H95&gt;=20,5,IF('Indicator Data'!H95&gt;=10,4,IF('Indicator Data'!H95&gt;=5,3,0)))))))))</f>
        <v>3</v>
      </c>
      <c r="W93" s="6">
        <f t="shared" si="27"/>
        <v>3</v>
      </c>
      <c r="X93" s="4">
        <f>IF('Indicator Data'!K95="No data","x",IF('Indicator Data'!K95&gt;X$149,0,IF('Indicator Data'!K95&lt;X$150,10,(X$149-'Indicator Data'!K95)/(X$149-X$150)*10)))</f>
        <v>4.1799080363481158</v>
      </c>
      <c r="Y93" s="6">
        <f t="shared" si="28"/>
        <v>2.0899540181740579</v>
      </c>
      <c r="Z93" s="7">
        <f t="shared" si="29"/>
        <v>2.3693696519948784</v>
      </c>
      <c r="AA93" s="139">
        <f t="shared" si="30"/>
        <v>1.9889407423958136</v>
      </c>
    </row>
    <row r="94" spans="1:27" s="11" customFormat="1" x14ac:dyDescent="0.25">
      <c r="A94" s="16" t="s">
        <v>468</v>
      </c>
      <c r="B94" s="11" t="s">
        <v>578</v>
      </c>
      <c r="C94" s="16" t="s">
        <v>469</v>
      </c>
      <c r="D94" s="4">
        <f>IF('Indicator Data'!D96="No data","x",IF('Indicator Data'!D96=0,0,IF(LOG('Indicator Data'!D96)&gt;D$149,10,IF(LOG('Indicator Data'!D96)&lt;D$150,0,10-(D$149-LOG('Indicator Data'!D96))/(D$149-D$150)*10))))</f>
        <v>5.289284952295815</v>
      </c>
      <c r="E94" s="4">
        <f>IF('Indicator Data'!E96="No data","x",IF('Indicator Data'!E96=0,0,IF(LOG('Indicator Data'!E96)&gt;E$149,10,IF(LOG('Indicator Data'!E96)&lt;E$150,0,10-(E$149-LOG('Indicator Data'!E96))/(E$149-E$150)*10))))</f>
        <v>7.1145461713109182</v>
      </c>
      <c r="F94" s="4">
        <f>IF('Indicator Data'!F96="No data","x",IF('Indicator Data'!F96=0,0,IF(LOG('Indicator Data'!F96)&gt;F$149,10,IF(LOG('Indicator Data'!F96)&lt;F$150,0,10-(F$149-LOG('Indicator Data'!F96))/(F$149-F$150)*10))))</f>
        <v>0</v>
      </c>
      <c r="G94" s="135">
        <f t="shared" ref="G94:G111" si="34">IF(AND(E94="x",F94="x"),"x",AVERAGE(E94,E94,F94))</f>
        <v>4.7430307808739451</v>
      </c>
      <c r="H94" s="54">
        <f>IF('Indicator Data'!D96="No data","x",'Indicator Data'!D96/'Indicator Data'!AN96)</f>
        <v>0.1137729146071169</v>
      </c>
      <c r="I94" s="54">
        <f>IF('Indicator Data'!E96="No data","x",'Indicator Data'!E96/'Indicator Data'!$AN96)</f>
        <v>0.41905123031296126</v>
      </c>
      <c r="J94" s="54">
        <f>IF('Indicator Data'!F96="No data","x",'Indicator Data'!F96/'Indicator Data'!$AN96)</f>
        <v>0</v>
      </c>
      <c r="K94" s="4">
        <f t="shared" si="22"/>
        <v>5.6886457303558444</v>
      </c>
      <c r="L94" s="4">
        <f t="shared" si="23"/>
        <v>10</v>
      </c>
      <c r="M94" s="4">
        <f t="shared" si="24"/>
        <v>0</v>
      </c>
      <c r="N94" s="135">
        <f t="shared" ref="N94:N148" si="35">IF(AND(L94="x",M94="x"),"x",AVERAGE(L94,L94, L94,M94))</f>
        <v>7.5</v>
      </c>
      <c r="O94" s="6">
        <f t="shared" si="20"/>
        <v>5.4925124602951128</v>
      </c>
      <c r="P94" s="6">
        <f t="shared" si="21"/>
        <v>6.3157127296450266</v>
      </c>
      <c r="Q94" s="15">
        <f t="shared" si="25"/>
        <v>5.9204060649511412</v>
      </c>
      <c r="R94" s="4">
        <f>IF(VLOOKUP($B94,'Indicator Data (national)'!$B$5:$H$14,6,FALSE)="No data","x",IF(VLOOKUP($B94,'Indicator Data (national)'!$B$5:$H$14,6,FALSE)&gt;R$149,10,IF(VLOOKUP($B94,'Indicator Data (national)'!$B$5:$H$14,6,FALSE)&lt;R$150,0,10-(R$149-VLOOKUP($B94,'Indicator Data (national)'!$B$5:$H$14,6,FALSE))/(R$149-R$150)*10)))</f>
        <v>10</v>
      </c>
      <c r="S94" s="4">
        <f>IF(VLOOKUP($B94,'Indicator Data (national)'!$B$5:$H$14,7,FALSE)="No data","x",IF(VLOOKUP($B94,'Indicator Data (national)'!$B$5:$H$14,7,FALSE)&gt;S$149,10,IF(VLOOKUP($B94,'Indicator Data (national)'!$B$5:$H$14,7,FALSE)&lt;S$150,0,10-(S$149-VLOOKUP($B94,'Indicator Data (national)'!$B$5:$H$14,7,FALSE))/(S$149-S$150)*10)))</f>
        <v>8.7644945123377962</v>
      </c>
      <c r="T94" s="138">
        <f t="shared" si="26"/>
        <v>9.4963814816019507</v>
      </c>
      <c r="U94" s="6">
        <f>IF('Indicator Data'!G96=5,10,IF('Indicator Data'!G96=4,8,IF('Indicator Data'!G96=3,5,IF('Indicator Data'!G96=2,2,IF('Indicator Data'!G96=1,1,0)))))</f>
        <v>0</v>
      </c>
      <c r="V94" s="4">
        <f>IF('Indicator Data'!H96="No data","x",IF('Indicator Data'!H96&gt;1000,10,IF('Indicator Data'!H96&gt;=500,9,IF('Indicator Data'!H96&gt;=240,8,IF('Indicator Data'!H96&gt;=120,7,IF('Indicator Data'!H96&gt;=60,6,IF('Indicator Data'!H96&gt;=20,5,IF('Indicator Data'!H96&gt;=10,4,IF('Indicator Data'!H96&gt;=5,3,0)))))))))</f>
        <v>3</v>
      </c>
      <c r="W94" s="6">
        <f t="shared" si="27"/>
        <v>3</v>
      </c>
      <c r="X94" s="4">
        <f>IF('Indicator Data'!K96="No data","x",IF('Indicator Data'!K96&gt;X$149,0,IF('Indicator Data'!K96&lt;X$150,10,(X$149-'Indicator Data'!K96)/(X$149-X$150)*10)))</f>
        <v>3.4539999999999997</v>
      </c>
      <c r="Y94" s="6">
        <f t="shared" si="28"/>
        <v>1.7269999999999999</v>
      </c>
      <c r="Z94" s="7">
        <f t="shared" si="29"/>
        <v>2.12982</v>
      </c>
      <c r="AA94" s="139">
        <f t="shared" si="30"/>
        <v>6.2481907408009754</v>
      </c>
    </row>
    <row r="95" spans="1:27" s="11" customFormat="1" x14ac:dyDescent="0.25">
      <c r="A95" s="16" t="s">
        <v>470</v>
      </c>
      <c r="B95" s="11" t="s">
        <v>578</v>
      </c>
      <c r="C95" s="16" t="s">
        <v>471</v>
      </c>
      <c r="D95" s="4">
        <f>IF('Indicator Data'!D97="No data","x",IF('Indicator Data'!D97=0,0,IF(LOG('Indicator Data'!D97)&gt;D$149,10,IF(LOG('Indicator Data'!D97)&lt;D$150,0,10-(D$149-LOG('Indicator Data'!D97))/(D$149-D$150)*10))))</f>
        <v>5.3436346651243536</v>
      </c>
      <c r="E95" s="4">
        <f>IF('Indicator Data'!E97="No data","x",IF('Indicator Data'!E97=0,0,IF(LOG('Indicator Data'!E97)&gt;E$149,10,IF(LOG('Indicator Data'!E97)&lt;E$150,0,10-(E$149-LOG('Indicator Data'!E97))/(E$149-E$150)*10))))</f>
        <v>7.4293667175585592</v>
      </c>
      <c r="F95" s="4">
        <f>IF('Indicator Data'!F97="No data","x",IF('Indicator Data'!F97=0,0,IF(LOG('Indicator Data'!F97)&gt;F$149,10,IF(LOG('Indicator Data'!F97)&lt;F$150,0,10-(F$149-LOG('Indicator Data'!F97))/(F$149-F$150)*10))))</f>
        <v>0</v>
      </c>
      <c r="G95" s="135">
        <f t="shared" si="34"/>
        <v>4.9529111450390397</v>
      </c>
      <c r="H95" s="54">
        <f>IF('Indicator Data'!D97="No data","x",'Indicator Data'!D97/'Indicator Data'!AN97)</f>
        <v>0.18003199958119157</v>
      </c>
      <c r="I95" s="54">
        <f>IF('Indicator Data'!E97="No data","x",'Indicator Data'!E97/'Indicator Data'!$AN97)</f>
        <v>0.9384809687562371</v>
      </c>
      <c r="J95" s="54">
        <f>IF('Indicator Data'!F97="No data","x",'Indicator Data'!F97/'Indicator Data'!$AN97)</f>
        <v>0</v>
      </c>
      <c r="K95" s="4">
        <f t="shared" si="22"/>
        <v>9.0015999790595771</v>
      </c>
      <c r="L95" s="4">
        <f t="shared" si="23"/>
        <v>10</v>
      </c>
      <c r="M95" s="4">
        <f t="shared" si="24"/>
        <v>0</v>
      </c>
      <c r="N95" s="135">
        <f t="shared" si="35"/>
        <v>7.5</v>
      </c>
      <c r="O95" s="6">
        <f t="shared" si="20"/>
        <v>7.6230520854273305</v>
      </c>
      <c r="P95" s="6">
        <f t="shared" si="21"/>
        <v>6.3953986175501516</v>
      </c>
      <c r="Q95" s="15">
        <f t="shared" si="25"/>
        <v>7.0554134490935052</v>
      </c>
      <c r="R95" s="4">
        <f>IF(VLOOKUP($B95,'Indicator Data (national)'!$B$5:$H$14,6,FALSE)="No data","x",IF(VLOOKUP($B95,'Indicator Data (national)'!$B$5:$H$14,6,FALSE)&gt;R$149,10,IF(VLOOKUP($B95,'Indicator Data (national)'!$B$5:$H$14,6,FALSE)&lt;R$150,0,10-(R$149-VLOOKUP($B95,'Indicator Data (national)'!$B$5:$H$14,6,FALSE))/(R$149-R$150)*10)))</f>
        <v>10</v>
      </c>
      <c r="S95" s="4">
        <f>IF(VLOOKUP($B95,'Indicator Data (national)'!$B$5:$H$14,7,FALSE)="No data","x",IF(VLOOKUP($B95,'Indicator Data (national)'!$B$5:$H$14,7,FALSE)&gt;S$149,10,IF(VLOOKUP($B95,'Indicator Data (national)'!$B$5:$H$14,7,FALSE)&lt;S$150,0,10-(S$149-VLOOKUP($B95,'Indicator Data (national)'!$B$5:$H$14,7,FALSE))/(S$149-S$150)*10)))</f>
        <v>8.7644945123377962</v>
      </c>
      <c r="T95" s="138">
        <f t="shared" si="26"/>
        <v>9.4963814816019507</v>
      </c>
      <c r="U95" s="6">
        <f>IF('Indicator Data'!G97=5,10,IF('Indicator Data'!G97=4,8,IF('Indicator Data'!G97=3,5,IF('Indicator Data'!G97=2,2,IF('Indicator Data'!G97=1,1,0)))))</f>
        <v>5</v>
      </c>
      <c r="V95" s="4">
        <f>IF('Indicator Data'!H97="No data","x",IF('Indicator Data'!H97&gt;1000,10,IF('Indicator Data'!H97&gt;=500,9,IF('Indicator Data'!H97&gt;=240,8,IF('Indicator Data'!H97&gt;=120,7,IF('Indicator Data'!H97&gt;=60,6,IF('Indicator Data'!H97&gt;=20,5,IF('Indicator Data'!H97&gt;=10,4,IF('Indicator Data'!H97&gt;=5,3,0)))))))))</f>
        <v>9</v>
      </c>
      <c r="W95" s="6">
        <f t="shared" si="27"/>
        <v>9</v>
      </c>
      <c r="X95" s="4">
        <f>IF('Indicator Data'!K97="No data","x",IF('Indicator Data'!K97&gt;X$149,0,IF('Indicator Data'!K97&lt;X$150,10,(X$149-'Indicator Data'!K97)/(X$149-X$150)*10)))</f>
        <v>3.4539999999999997</v>
      </c>
      <c r="Y95" s="6">
        <f t="shared" si="28"/>
        <v>4.2270000000000003</v>
      </c>
      <c r="Z95" s="7">
        <f t="shared" si="29"/>
        <v>5.7598200000000004</v>
      </c>
      <c r="AA95" s="139">
        <f t="shared" si="30"/>
        <v>9</v>
      </c>
    </row>
    <row r="96" spans="1:27" s="11" customFormat="1" x14ac:dyDescent="0.25">
      <c r="A96" s="16" t="s">
        <v>472</v>
      </c>
      <c r="B96" s="11" t="s">
        <v>578</v>
      </c>
      <c r="C96" s="16" t="s">
        <v>473</v>
      </c>
      <c r="D96" s="4">
        <f>IF('Indicator Data'!D98="No data","x",IF('Indicator Data'!D98=0,0,IF(LOG('Indicator Data'!D98)&gt;D$149,10,IF(LOG('Indicator Data'!D98)&lt;D$150,0,10-(D$149-LOG('Indicator Data'!D98))/(D$149-D$150)*10))))</f>
        <v>6.5947159013099697</v>
      </c>
      <c r="E96" s="4">
        <f>IF('Indicator Data'!E98="No data","x",IF('Indicator Data'!E98=0,0,IF(LOG('Indicator Data'!E98)&gt;E$149,10,IF(LOG('Indicator Data'!E98)&lt;E$150,0,10-(E$149-LOG('Indicator Data'!E98))/(E$149-E$150)*10))))</f>
        <v>7.5089428579966793</v>
      </c>
      <c r="F96" s="4">
        <f>IF('Indicator Data'!F98="No data","x",IF('Indicator Data'!F98=0,0,IF(LOG('Indicator Data'!F98)&gt;F$149,10,IF(LOG('Indicator Data'!F98)&lt;F$150,0,10-(F$149-LOG('Indicator Data'!F98))/(F$149-F$150)*10))))</f>
        <v>0</v>
      </c>
      <c r="G96" s="135">
        <f t="shared" si="34"/>
        <v>5.0059619053311195</v>
      </c>
      <c r="H96" s="54">
        <f>IF('Indicator Data'!D98="No data","x",'Indicator Data'!D98/'Indicator Data'!AN98)</f>
        <v>0.42053011126394868</v>
      </c>
      <c r="I96" s="54">
        <f>IF('Indicator Data'!E98="No data","x",'Indicator Data'!E98/'Indicator Data'!$AN98)</f>
        <v>0.32573294210530601</v>
      </c>
      <c r="J96" s="54">
        <f>IF('Indicator Data'!F98="No data","x",'Indicator Data'!F98/'Indicator Data'!$AN98)</f>
        <v>0</v>
      </c>
      <c r="K96" s="4">
        <f t="shared" si="22"/>
        <v>10</v>
      </c>
      <c r="L96" s="4">
        <f t="shared" si="23"/>
        <v>10</v>
      </c>
      <c r="M96" s="4">
        <f t="shared" si="24"/>
        <v>0</v>
      </c>
      <c r="N96" s="135">
        <f t="shared" si="35"/>
        <v>7.5</v>
      </c>
      <c r="O96" s="6">
        <f t="shared" si="20"/>
        <v>8.8709734144997974</v>
      </c>
      <c r="P96" s="6">
        <f t="shared" si="21"/>
        <v>6.4157546675614521</v>
      </c>
      <c r="Q96" s="15">
        <f t="shared" si="25"/>
        <v>7.8679267240892408</v>
      </c>
      <c r="R96" s="4">
        <f>IF(VLOOKUP($B96,'Indicator Data (national)'!$B$5:$H$14,6,FALSE)="No data","x",IF(VLOOKUP($B96,'Indicator Data (national)'!$B$5:$H$14,6,FALSE)&gt;R$149,10,IF(VLOOKUP($B96,'Indicator Data (national)'!$B$5:$H$14,6,FALSE)&lt;R$150,0,10-(R$149-VLOOKUP($B96,'Indicator Data (national)'!$B$5:$H$14,6,FALSE))/(R$149-R$150)*10)))</f>
        <v>10</v>
      </c>
      <c r="S96" s="4">
        <f>IF(VLOOKUP($B96,'Indicator Data (national)'!$B$5:$H$14,7,FALSE)="No data","x",IF(VLOOKUP($B96,'Indicator Data (national)'!$B$5:$H$14,7,FALSE)&gt;S$149,10,IF(VLOOKUP($B96,'Indicator Data (national)'!$B$5:$H$14,7,FALSE)&lt;S$150,0,10-(S$149-VLOOKUP($B96,'Indicator Data (national)'!$B$5:$H$14,7,FALSE))/(S$149-S$150)*10)))</f>
        <v>8.7644945123377962</v>
      </c>
      <c r="T96" s="138">
        <f t="shared" si="26"/>
        <v>9.4963814816019507</v>
      </c>
      <c r="U96" s="6">
        <f>IF('Indicator Data'!G98=5,10,IF('Indicator Data'!G98=4,8,IF('Indicator Data'!G98=3,5,IF('Indicator Data'!G98=2,2,IF('Indicator Data'!G98=1,1,0)))))</f>
        <v>8</v>
      </c>
      <c r="V96" s="4">
        <f>IF('Indicator Data'!H98="No data","x",IF('Indicator Data'!H98&gt;1000,10,IF('Indicator Data'!H98&gt;=500,9,IF('Indicator Data'!H98&gt;=240,8,IF('Indicator Data'!H98&gt;=120,7,IF('Indicator Data'!H98&gt;=60,6,IF('Indicator Data'!H98&gt;=20,5,IF('Indicator Data'!H98&gt;=10,4,IF('Indicator Data'!H98&gt;=5,3,0)))))))))</f>
        <v>10</v>
      </c>
      <c r="W96" s="6">
        <f t="shared" si="27"/>
        <v>10</v>
      </c>
      <c r="X96" s="4">
        <f>IF('Indicator Data'!K98="No data","x",IF('Indicator Data'!K98&gt;X$149,0,IF('Indicator Data'!K98&lt;X$150,10,(X$149-'Indicator Data'!K98)/(X$149-X$150)*10)))</f>
        <v>3.4539999999999997</v>
      </c>
      <c r="Y96" s="6">
        <f t="shared" si="28"/>
        <v>5.7270000000000003</v>
      </c>
      <c r="Z96" s="7">
        <f t="shared" si="29"/>
        <v>7.0798200000000007</v>
      </c>
      <c r="AA96" s="139">
        <f t="shared" si="30"/>
        <v>10</v>
      </c>
    </row>
    <row r="97" spans="1:27" s="11" customFormat="1" x14ac:dyDescent="0.25">
      <c r="A97" s="16" t="s">
        <v>474</v>
      </c>
      <c r="B97" s="11" t="s">
        <v>578</v>
      </c>
      <c r="C97" s="16" t="s">
        <v>475</v>
      </c>
      <c r="D97" s="4">
        <f>IF('Indicator Data'!D99="No data","x",IF('Indicator Data'!D99=0,0,IF(LOG('Indicator Data'!D99)&gt;D$149,10,IF(LOG('Indicator Data'!D99)&lt;D$150,0,10-(D$149-LOG('Indicator Data'!D99))/(D$149-D$150)*10))))</f>
        <v>0</v>
      </c>
      <c r="E97" s="4">
        <f>IF('Indicator Data'!E99="No data","x",IF('Indicator Data'!E99=0,0,IF(LOG('Indicator Data'!E99)&gt;E$149,10,IF(LOG('Indicator Data'!E99)&lt;E$150,0,10-(E$149-LOG('Indicator Data'!E99))/(E$149-E$150)*10))))</f>
        <v>6.7252958232596187</v>
      </c>
      <c r="F97" s="4">
        <f>IF('Indicator Data'!F99="No data","x",IF('Indicator Data'!F99=0,0,IF(LOG('Indicator Data'!F99)&gt;F$149,10,IF(LOG('Indicator Data'!F99)&lt;F$150,0,10-(F$149-LOG('Indicator Data'!F99))/(F$149-F$150)*10))))</f>
        <v>0</v>
      </c>
      <c r="G97" s="135">
        <f t="shared" si="34"/>
        <v>4.4835305488397461</v>
      </c>
      <c r="H97" s="54">
        <f>IF('Indicator Data'!D99="No data","x",'Indicator Data'!D99/'Indicator Data'!AN99)</f>
        <v>0</v>
      </c>
      <c r="I97" s="54">
        <f>IF('Indicator Data'!E99="No data","x",'Indicator Data'!E99/'Indicator Data'!$AN99)</f>
        <v>0.22432936201728237</v>
      </c>
      <c r="J97" s="54">
        <f>IF('Indicator Data'!F99="No data","x",'Indicator Data'!F99/'Indicator Data'!$AN99)</f>
        <v>0</v>
      </c>
      <c r="K97" s="4">
        <f t="shared" si="22"/>
        <v>0</v>
      </c>
      <c r="L97" s="4">
        <f t="shared" si="23"/>
        <v>10</v>
      </c>
      <c r="M97" s="4">
        <f t="shared" si="24"/>
        <v>0</v>
      </c>
      <c r="N97" s="135">
        <f t="shared" si="35"/>
        <v>7.5</v>
      </c>
      <c r="O97" s="6">
        <f t="shared" si="20"/>
        <v>0</v>
      </c>
      <c r="P97" s="6">
        <f t="shared" si="21"/>
        <v>6.2189817374945306</v>
      </c>
      <c r="Q97" s="15">
        <f t="shared" si="25"/>
        <v>3.7383915965639702</v>
      </c>
      <c r="R97" s="4">
        <f>IF(VLOOKUP($B97,'Indicator Data (national)'!$B$5:$H$14,6,FALSE)="No data","x",IF(VLOOKUP($B97,'Indicator Data (national)'!$B$5:$H$14,6,FALSE)&gt;R$149,10,IF(VLOOKUP($B97,'Indicator Data (national)'!$B$5:$H$14,6,FALSE)&lt;R$150,0,10-(R$149-VLOOKUP($B97,'Indicator Data (national)'!$B$5:$H$14,6,FALSE))/(R$149-R$150)*10)))</f>
        <v>10</v>
      </c>
      <c r="S97" s="4">
        <f>IF(VLOOKUP($B97,'Indicator Data (national)'!$B$5:$H$14,7,FALSE)="No data","x",IF(VLOOKUP($B97,'Indicator Data (national)'!$B$5:$H$14,7,FALSE)&gt;S$149,10,IF(VLOOKUP($B97,'Indicator Data (national)'!$B$5:$H$14,7,FALSE)&lt;S$150,0,10-(S$149-VLOOKUP($B97,'Indicator Data (national)'!$B$5:$H$14,7,FALSE))/(S$149-S$150)*10)))</f>
        <v>8.7644945123377962</v>
      </c>
      <c r="T97" s="138">
        <f t="shared" si="26"/>
        <v>9.4963814816019507</v>
      </c>
      <c r="U97" s="6">
        <f>IF('Indicator Data'!G99=5,10,IF('Indicator Data'!G99=4,8,IF('Indicator Data'!G99=3,5,IF('Indicator Data'!G99=2,2,IF('Indicator Data'!G99=1,1,0)))))</f>
        <v>5</v>
      </c>
      <c r="V97" s="4">
        <f>IF('Indicator Data'!H99="No data","x",IF('Indicator Data'!H99&gt;1000,10,IF('Indicator Data'!H99&gt;=500,9,IF('Indicator Data'!H99&gt;=240,8,IF('Indicator Data'!H99&gt;=120,7,IF('Indicator Data'!H99&gt;=60,6,IF('Indicator Data'!H99&gt;=20,5,IF('Indicator Data'!H99&gt;=10,4,IF('Indicator Data'!H99&gt;=5,3,0)))))))))</f>
        <v>8</v>
      </c>
      <c r="W97" s="6">
        <f t="shared" si="27"/>
        <v>8</v>
      </c>
      <c r="X97" s="4">
        <f>IF('Indicator Data'!K99="No data","x",IF('Indicator Data'!K99&gt;X$149,0,IF('Indicator Data'!K99&lt;X$150,10,(X$149-'Indicator Data'!K99)/(X$149-X$150)*10)))</f>
        <v>3.4539999999999997</v>
      </c>
      <c r="Y97" s="6">
        <f t="shared" si="28"/>
        <v>4.2270000000000003</v>
      </c>
      <c r="Z97" s="7">
        <f t="shared" si="29"/>
        <v>5.4298200000000003</v>
      </c>
      <c r="AA97" s="139">
        <f t="shared" si="30"/>
        <v>8</v>
      </c>
    </row>
    <row r="98" spans="1:27" s="11" customFormat="1" x14ac:dyDescent="0.25">
      <c r="A98" s="16" t="s">
        <v>476</v>
      </c>
      <c r="B98" s="11" t="s">
        <v>578</v>
      </c>
      <c r="C98" s="16" t="s">
        <v>477</v>
      </c>
      <c r="D98" s="4">
        <f>IF('Indicator Data'!D100="No data","x",IF('Indicator Data'!D100=0,0,IF(LOG('Indicator Data'!D100)&gt;D$149,10,IF(LOG('Indicator Data'!D100)&lt;D$150,0,10-(D$149-LOG('Indicator Data'!D100))/(D$149-D$150)*10))))</f>
        <v>5.3939164015091734</v>
      </c>
      <c r="E98" s="4">
        <f>IF('Indicator Data'!E100="No data","x",IF('Indicator Data'!E100=0,0,IF(LOG('Indicator Data'!E100)&gt;E$149,10,IF(LOG('Indicator Data'!E100)&lt;E$150,0,10-(E$149-LOG('Indicator Data'!E100))/(E$149-E$150)*10))))</f>
        <v>8.2133252903687968</v>
      </c>
      <c r="F98" s="4">
        <f>IF('Indicator Data'!F100="No data","x",IF('Indicator Data'!F100=0,0,IF(LOG('Indicator Data'!F100)&gt;F$149,10,IF(LOG('Indicator Data'!F100)&lt;F$150,0,10-(F$149-LOG('Indicator Data'!F100))/(F$149-F$150)*10))))</f>
        <v>0</v>
      </c>
      <c r="G98" s="135">
        <f t="shared" si="34"/>
        <v>5.4755501935791981</v>
      </c>
      <c r="H98" s="54">
        <f>IF('Indicator Data'!D100="No data","x",'Indicator Data'!D100/'Indicator Data'!AN100)</f>
        <v>6.9318202940575099E-2</v>
      </c>
      <c r="I98" s="54">
        <f>IF('Indicator Data'!E100="No data","x",'Indicator Data'!E100/'Indicator Data'!$AN100)</f>
        <v>0.98423994869793119</v>
      </c>
      <c r="J98" s="54">
        <f>IF('Indicator Data'!F100="No data","x",'Indicator Data'!F100/'Indicator Data'!$AN100)</f>
        <v>0</v>
      </c>
      <c r="K98" s="4">
        <f t="shared" si="22"/>
        <v>3.4659101470287554</v>
      </c>
      <c r="L98" s="4">
        <f t="shared" si="23"/>
        <v>10</v>
      </c>
      <c r="M98" s="4">
        <f t="shared" si="24"/>
        <v>0</v>
      </c>
      <c r="N98" s="135">
        <f t="shared" si="35"/>
        <v>7.5</v>
      </c>
      <c r="O98" s="6">
        <f t="shared" si="20"/>
        <v>4.4998251162614498</v>
      </c>
      <c r="P98" s="6">
        <f t="shared" si="21"/>
        <v>6.5999431197098799</v>
      </c>
      <c r="Q98" s="15">
        <f t="shared" si="25"/>
        <v>5.6499187722564326</v>
      </c>
      <c r="R98" s="4">
        <f>IF(VLOOKUP($B98,'Indicator Data (national)'!$B$5:$H$14,6,FALSE)="No data","x",IF(VLOOKUP($B98,'Indicator Data (national)'!$B$5:$H$14,6,FALSE)&gt;R$149,10,IF(VLOOKUP($B98,'Indicator Data (national)'!$B$5:$H$14,6,FALSE)&lt;R$150,0,10-(R$149-VLOOKUP($B98,'Indicator Data (national)'!$B$5:$H$14,6,FALSE))/(R$149-R$150)*10)))</f>
        <v>10</v>
      </c>
      <c r="S98" s="4">
        <f>IF(VLOOKUP($B98,'Indicator Data (national)'!$B$5:$H$14,7,FALSE)="No data","x",IF(VLOOKUP($B98,'Indicator Data (national)'!$B$5:$H$14,7,FALSE)&gt;S$149,10,IF(VLOOKUP($B98,'Indicator Data (national)'!$B$5:$H$14,7,FALSE)&lt;S$150,0,10-(S$149-VLOOKUP($B98,'Indicator Data (national)'!$B$5:$H$14,7,FALSE))/(S$149-S$150)*10)))</f>
        <v>8.7644945123377962</v>
      </c>
      <c r="T98" s="138">
        <f t="shared" si="26"/>
        <v>9.4963814816019507</v>
      </c>
      <c r="U98" s="6">
        <f>IF('Indicator Data'!G100=5,10,IF('Indicator Data'!G100=4,8,IF('Indicator Data'!G100=3,5,IF('Indicator Data'!G100=2,2,IF('Indicator Data'!G100=1,1,0)))))</f>
        <v>5</v>
      </c>
      <c r="V98" s="4">
        <f>IF('Indicator Data'!H100="No data","x",IF('Indicator Data'!H100&gt;1000,10,IF('Indicator Data'!H100&gt;=500,9,IF('Indicator Data'!H100&gt;=240,8,IF('Indicator Data'!H100&gt;=120,7,IF('Indicator Data'!H100&gt;=60,6,IF('Indicator Data'!H100&gt;=20,5,IF('Indicator Data'!H100&gt;=10,4,IF('Indicator Data'!H100&gt;=5,3,0)))))))))</f>
        <v>10</v>
      </c>
      <c r="W98" s="6">
        <f t="shared" si="27"/>
        <v>10</v>
      </c>
      <c r="X98" s="4">
        <f>IF('Indicator Data'!K100="No data","x",IF('Indicator Data'!K100&gt;X$149,0,IF('Indicator Data'!K100&lt;X$150,10,(X$149-'Indicator Data'!K100)/(X$149-X$150)*10)))</f>
        <v>3.4539999999999997</v>
      </c>
      <c r="Y98" s="6">
        <f t="shared" si="28"/>
        <v>4.2270000000000003</v>
      </c>
      <c r="Z98" s="7">
        <f t="shared" si="29"/>
        <v>6.0898200000000005</v>
      </c>
      <c r="AA98" s="139">
        <f t="shared" si="30"/>
        <v>10</v>
      </c>
    </row>
    <row r="99" spans="1:27" s="11" customFormat="1" x14ac:dyDescent="0.25">
      <c r="A99" s="16" t="s">
        <v>478</v>
      </c>
      <c r="B99" s="11" t="s">
        <v>578</v>
      </c>
      <c r="C99" s="16" t="s">
        <v>479</v>
      </c>
      <c r="D99" s="4">
        <f>IF('Indicator Data'!D101="No data","x",IF('Indicator Data'!D101=0,0,IF(LOG('Indicator Data'!D101)&gt;D$149,10,IF(LOG('Indicator Data'!D101)&lt;D$150,0,10-(D$149-LOG('Indicator Data'!D101))/(D$149-D$150)*10))))</f>
        <v>3.2200920755919125</v>
      </c>
      <c r="E99" s="4">
        <f>IF('Indicator Data'!E101="No data","x",IF('Indicator Data'!E101=0,0,IF(LOG('Indicator Data'!E101)&gt;E$149,10,IF(LOG('Indicator Data'!E101)&lt;E$150,0,10-(E$149-LOG('Indicator Data'!E101))/(E$149-E$150)*10))))</f>
        <v>7.6288714578167021</v>
      </c>
      <c r="F99" s="4">
        <f>IF('Indicator Data'!F101="No data","x",IF('Indicator Data'!F101=0,0,IF(LOG('Indicator Data'!F101)&gt;F$149,10,IF(LOG('Indicator Data'!F101)&lt;F$150,0,10-(F$149-LOG('Indicator Data'!F101))/(F$149-F$150)*10))))</f>
        <v>0</v>
      </c>
      <c r="G99" s="135">
        <f t="shared" si="34"/>
        <v>5.0859143052111344</v>
      </c>
      <c r="H99" s="54">
        <f>IF('Indicator Data'!D101="No data","x",'Indicator Data'!D101/'Indicator Data'!AN101)</f>
        <v>3.8725238500006472E-3</v>
      </c>
      <c r="I99" s="54">
        <f>IF('Indicator Data'!E101="No data","x",'Indicator Data'!E101/'Indicator Data'!$AN101)</f>
        <v>0.81517813609709999</v>
      </c>
      <c r="J99" s="54">
        <f>IF('Indicator Data'!F101="No data","x",'Indicator Data'!F101/'Indicator Data'!$AN101)</f>
        <v>0</v>
      </c>
      <c r="K99" s="4">
        <f t="shared" si="22"/>
        <v>0.19362619250003199</v>
      </c>
      <c r="L99" s="4">
        <f t="shared" si="23"/>
        <v>10</v>
      </c>
      <c r="M99" s="4">
        <f t="shared" si="24"/>
        <v>0</v>
      </c>
      <c r="N99" s="135">
        <f t="shared" si="35"/>
        <v>7.5</v>
      </c>
      <c r="O99" s="6">
        <f t="shared" ref="O99:O130" si="36">IF(AND(D99="x",K99="x"),"x",(10-GEOMEAN(((10-D99)/10*9+1),((10-K99)/10*9+1)))/9*10)</f>
        <v>1.8294043007904037</v>
      </c>
      <c r="P99" s="6">
        <f t="shared" ref="P99:P130" si="37">IF(AND(G99="x",N99="x"),"x",(10-GEOMEAN(((10-G99)/10*9+1),((10-N99)/10*9+1)))/9*10)</f>
        <v>6.4466009404268849</v>
      </c>
      <c r="Q99" s="15">
        <f t="shared" si="25"/>
        <v>4.5312466886438836</v>
      </c>
      <c r="R99" s="4">
        <f>IF(VLOOKUP($B99,'Indicator Data (national)'!$B$5:$H$14,6,FALSE)="No data","x",IF(VLOOKUP($B99,'Indicator Data (national)'!$B$5:$H$14,6,FALSE)&gt;R$149,10,IF(VLOOKUP($B99,'Indicator Data (national)'!$B$5:$H$14,6,FALSE)&lt;R$150,0,10-(R$149-VLOOKUP($B99,'Indicator Data (national)'!$B$5:$H$14,6,FALSE))/(R$149-R$150)*10)))</f>
        <v>10</v>
      </c>
      <c r="S99" s="4">
        <f>IF(VLOOKUP($B99,'Indicator Data (national)'!$B$5:$H$14,7,FALSE)="No data","x",IF(VLOOKUP($B99,'Indicator Data (national)'!$B$5:$H$14,7,FALSE)&gt;S$149,10,IF(VLOOKUP($B99,'Indicator Data (national)'!$B$5:$H$14,7,FALSE)&lt;S$150,0,10-(S$149-VLOOKUP($B99,'Indicator Data (national)'!$B$5:$H$14,7,FALSE))/(S$149-S$150)*10)))</f>
        <v>8.7644945123377962</v>
      </c>
      <c r="T99" s="138">
        <f t="shared" si="26"/>
        <v>9.4963814816019507</v>
      </c>
      <c r="U99" s="6">
        <f>IF('Indicator Data'!G101=5,10,IF('Indicator Data'!G101=4,8,IF('Indicator Data'!G101=3,5,IF('Indicator Data'!G101=2,2,IF('Indicator Data'!G101=1,1,0)))))</f>
        <v>5</v>
      </c>
      <c r="V99" s="4">
        <f>IF('Indicator Data'!H101="No data","x",IF('Indicator Data'!H101&gt;1000,10,IF('Indicator Data'!H101&gt;=500,9,IF('Indicator Data'!H101&gt;=240,8,IF('Indicator Data'!H101&gt;=120,7,IF('Indicator Data'!H101&gt;=60,6,IF('Indicator Data'!H101&gt;=20,5,IF('Indicator Data'!H101&gt;=10,4,IF('Indicator Data'!H101&gt;=5,3,0)))))))))</f>
        <v>8</v>
      </c>
      <c r="W99" s="6">
        <f t="shared" si="27"/>
        <v>8</v>
      </c>
      <c r="X99" s="4">
        <f>IF('Indicator Data'!K101="No data","x",IF('Indicator Data'!K101&gt;X$149,0,IF('Indicator Data'!K101&lt;X$150,10,(X$149-'Indicator Data'!K101)/(X$149-X$150)*10)))</f>
        <v>3.4539999999999997</v>
      </c>
      <c r="Y99" s="6">
        <f t="shared" si="28"/>
        <v>4.2270000000000003</v>
      </c>
      <c r="Z99" s="7">
        <f t="shared" si="29"/>
        <v>5.4298200000000003</v>
      </c>
      <c r="AA99" s="139">
        <f t="shared" si="30"/>
        <v>8</v>
      </c>
    </row>
    <row r="100" spans="1:27" s="11" customFormat="1" x14ac:dyDescent="0.25">
      <c r="A100" s="16" t="s">
        <v>480</v>
      </c>
      <c r="B100" s="11" t="s">
        <v>578</v>
      </c>
      <c r="C100" s="16" t="s">
        <v>481</v>
      </c>
      <c r="D100" s="4">
        <f>IF('Indicator Data'!D102="No data","x",IF('Indicator Data'!D102=0,0,IF(LOG('Indicator Data'!D102)&gt;D$149,10,IF(LOG('Indicator Data'!D102)&lt;D$150,0,10-(D$149-LOG('Indicator Data'!D102))/(D$149-D$150)*10))))</f>
        <v>5.536364064750142</v>
      </c>
      <c r="E100" s="4">
        <f>IF('Indicator Data'!E102="No data","x",IF('Indicator Data'!E102=0,0,IF(LOG('Indicator Data'!E102)&gt;E$149,10,IF(LOG('Indicator Data'!E102)&lt;E$150,0,10-(E$149-LOG('Indicator Data'!E102))/(E$149-E$150)*10))))</f>
        <v>7.6036409579971505</v>
      </c>
      <c r="F100" s="4">
        <f>IF('Indicator Data'!F102="No data","x",IF('Indicator Data'!F102=0,0,IF(LOG('Indicator Data'!F102)&gt;F$149,10,IF(LOG('Indicator Data'!F102)&lt;F$150,0,10-(F$149-LOG('Indicator Data'!F102))/(F$149-F$150)*10))))</f>
        <v>0</v>
      </c>
      <c r="G100" s="135">
        <f t="shared" si="34"/>
        <v>5.0690939719981003</v>
      </c>
      <c r="H100" s="54">
        <f>IF('Indicator Data'!D102="No data","x",'Indicator Data'!D102/'Indicator Data'!AN102)</f>
        <v>0.18970985521823405</v>
      </c>
      <c r="I100" s="54">
        <f>IF('Indicator Data'!E102="No data","x",'Indicator Data'!E102/'Indicator Data'!$AN102)</f>
        <v>0.92218833001852418</v>
      </c>
      <c r="J100" s="54">
        <f>IF('Indicator Data'!F102="No data","x",'Indicator Data'!F102/'Indicator Data'!$AN102)</f>
        <v>0</v>
      </c>
      <c r="K100" s="4">
        <f t="shared" si="22"/>
        <v>9.4854927609117023</v>
      </c>
      <c r="L100" s="4">
        <f t="shared" si="23"/>
        <v>10</v>
      </c>
      <c r="M100" s="4">
        <f t="shared" si="24"/>
        <v>0</v>
      </c>
      <c r="N100" s="135">
        <f t="shared" si="35"/>
        <v>7.5</v>
      </c>
      <c r="O100" s="6">
        <f t="shared" si="36"/>
        <v>8.1007272325527069</v>
      </c>
      <c r="P100" s="6">
        <f t="shared" si="37"/>
        <v>6.4400946024082391</v>
      </c>
      <c r="Q100" s="15">
        <f t="shared" si="25"/>
        <v>7.3612374073339701</v>
      </c>
      <c r="R100" s="4">
        <f>IF(VLOOKUP($B100,'Indicator Data (national)'!$B$5:$H$14,6,FALSE)="No data","x",IF(VLOOKUP($B100,'Indicator Data (national)'!$B$5:$H$14,6,FALSE)&gt;R$149,10,IF(VLOOKUP($B100,'Indicator Data (national)'!$B$5:$H$14,6,FALSE)&lt;R$150,0,10-(R$149-VLOOKUP($B100,'Indicator Data (national)'!$B$5:$H$14,6,FALSE))/(R$149-R$150)*10)))</f>
        <v>10</v>
      </c>
      <c r="S100" s="4">
        <f>IF(VLOOKUP($B100,'Indicator Data (national)'!$B$5:$H$14,7,FALSE)="No data","x",IF(VLOOKUP($B100,'Indicator Data (national)'!$B$5:$H$14,7,FALSE)&gt;S$149,10,IF(VLOOKUP($B100,'Indicator Data (national)'!$B$5:$H$14,7,FALSE)&lt;S$150,0,10-(S$149-VLOOKUP($B100,'Indicator Data (national)'!$B$5:$H$14,7,FALSE))/(S$149-S$150)*10)))</f>
        <v>8.7644945123377962</v>
      </c>
      <c r="T100" s="138">
        <f t="shared" si="26"/>
        <v>9.4963814816019507</v>
      </c>
      <c r="U100" s="6">
        <f>IF('Indicator Data'!G102=5,10,IF('Indicator Data'!G102=4,8,IF('Indicator Data'!G102=3,5,IF('Indicator Data'!G102=2,2,IF('Indicator Data'!G102=1,1,0)))))</f>
        <v>8</v>
      </c>
      <c r="V100" s="4">
        <f>IF('Indicator Data'!H102="No data","x",IF('Indicator Data'!H102&gt;1000,10,IF('Indicator Data'!H102&gt;=500,9,IF('Indicator Data'!H102&gt;=240,8,IF('Indicator Data'!H102&gt;=120,7,IF('Indicator Data'!H102&gt;=60,6,IF('Indicator Data'!H102&gt;=20,5,IF('Indicator Data'!H102&gt;=10,4,IF('Indicator Data'!H102&gt;=5,3,0)))))))))</f>
        <v>9</v>
      </c>
      <c r="W100" s="6">
        <f t="shared" si="27"/>
        <v>9</v>
      </c>
      <c r="X100" s="4">
        <f>IF('Indicator Data'!K102="No data","x",IF('Indicator Data'!K102&gt;X$149,0,IF('Indicator Data'!K102&lt;X$150,10,(X$149-'Indicator Data'!K102)/(X$149-X$150)*10)))</f>
        <v>3.4539999999999997</v>
      </c>
      <c r="Y100" s="6">
        <f t="shared" si="28"/>
        <v>5.7270000000000003</v>
      </c>
      <c r="Z100" s="7">
        <f t="shared" si="29"/>
        <v>6.7498200000000006</v>
      </c>
      <c r="AA100" s="139">
        <f t="shared" si="30"/>
        <v>9</v>
      </c>
    </row>
    <row r="101" spans="1:27" s="11" customFormat="1" x14ac:dyDescent="0.25">
      <c r="A101" s="16" t="s">
        <v>482</v>
      </c>
      <c r="B101" s="11" t="s">
        <v>578</v>
      </c>
      <c r="C101" s="16" t="s">
        <v>483</v>
      </c>
      <c r="D101" s="4">
        <f>IF('Indicator Data'!D103="No data","x",IF('Indicator Data'!D103=0,0,IF(LOG('Indicator Data'!D103)&gt;D$149,10,IF(LOG('Indicator Data'!D103)&lt;D$150,0,10-(D$149-LOG('Indicator Data'!D103))/(D$149-D$150)*10))))</f>
        <v>6.0745469653886062</v>
      </c>
      <c r="E101" s="4">
        <f>IF('Indicator Data'!E103="No data","x",IF('Indicator Data'!E103=0,0,IF(LOG('Indicator Data'!E103)&gt;E$149,10,IF(LOG('Indicator Data'!E103)&lt;E$150,0,10-(E$149-LOG('Indicator Data'!E103))/(E$149-E$150)*10))))</f>
        <v>7.5208960838647645</v>
      </c>
      <c r="F101" s="4">
        <f>IF('Indicator Data'!F103="No data","x",IF('Indicator Data'!F103=0,0,IF(LOG('Indicator Data'!F103)&gt;F$149,10,IF(LOG('Indicator Data'!F103)&lt;F$150,0,10-(F$149-LOG('Indicator Data'!F103))/(F$149-F$150)*10))))</f>
        <v>0</v>
      </c>
      <c r="G101" s="135">
        <f t="shared" si="34"/>
        <v>5.01393072257651</v>
      </c>
      <c r="H101" s="54">
        <f>IF('Indicator Data'!D103="No data","x",'Indicator Data'!D103/'Indicator Data'!AN103)</f>
        <v>0.42810194500335347</v>
      </c>
      <c r="I101" s="54">
        <f>IF('Indicator Data'!E103="No data","x",'Indicator Data'!E103/'Indicator Data'!$AN103)</f>
        <v>0.77965411516719363</v>
      </c>
      <c r="J101" s="54">
        <f>IF('Indicator Data'!F103="No data","x",'Indicator Data'!F103/'Indicator Data'!$AN103)</f>
        <v>0</v>
      </c>
      <c r="K101" s="4">
        <f t="shared" si="22"/>
        <v>10</v>
      </c>
      <c r="L101" s="4">
        <f t="shared" si="23"/>
        <v>10</v>
      </c>
      <c r="M101" s="4">
        <f t="shared" si="24"/>
        <v>0</v>
      </c>
      <c r="N101" s="135">
        <f t="shared" si="35"/>
        <v>7.5</v>
      </c>
      <c r="O101" s="6">
        <f t="shared" si="36"/>
        <v>8.7454859539621346</v>
      </c>
      <c r="P101" s="6">
        <f t="shared" si="37"/>
        <v>6.4188200025495314</v>
      </c>
      <c r="Q101" s="15">
        <f t="shared" si="25"/>
        <v>7.7794145626421898</v>
      </c>
      <c r="R101" s="4">
        <f>IF(VLOOKUP($B101,'Indicator Data (national)'!$B$5:$H$14,6,FALSE)="No data","x",IF(VLOOKUP($B101,'Indicator Data (national)'!$B$5:$H$14,6,FALSE)&gt;R$149,10,IF(VLOOKUP($B101,'Indicator Data (national)'!$B$5:$H$14,6,FALSE)&lt;R$150,0,10-(R$149-VLOOKUP($B101,'Indicator Data (national)'!$B$5:$H$14,6,FALSE))/(R$149-R$150)*10)))</f>
        <v>10</v>
      </c>
      <c r="S101" s="4">
        <f>IF(VLOOKUP($B101,'Indicator Data (national)'!$B$5:$H$14,7,FALSE)="No data","x",IF(VLOOKUP($B101,'Indicator Data (national)'!$B$5:$H$14,7,FALSE)&gt;S$149,10,IF(VLOOKUP($B101,'Indicator Data (national)'!$B$5:$H$14,7,FALSE)&lt;S$150,0,10-(S$149-VLOOKUP($B101,'Indicator Data (national)'!$B$5:$H$14,7,FALSE))/(S$149-S$150)*10)))</f>
        <v>8.7644945123377962</v>
      </c>
      <c r="T101" s="138">
        <f t="shared" si="26"/>
        <v>9.4963814816019507</v>
      </c>
      <c r="U101" s="6">
        <f>IF('Indicator Data'!G103=5,10,IF('Indicator Data'!G103=4,8,IF('Indicator Data'!G103=3,5,IF('Indicator Data'!G103=2,2,IF('Indicator Data'!G103=1,1,0)))))</f>
        <v>5</v>
      </c>
      <c r="V101" s="4">
        <f>IF('Indicator Data'!H103="No data","x",IF('Indicator Data'!H103&gt;1000,10,IF('Indicator Data'!H103&gt;=500,9,IF('Indicator Data'!H103&gt;=240,8,IF('Indicator Data'!H103&gt;=120,7,IF('Indicator Data'!H103&gt;=60,6,IF('Indicator Data'!H103&gt;=20,5,IF('Indicator Data'!H103&gt;=10,4,IF('Indicator Data'!H103&gt;=5,3,0)))))))))</f>
        <v>9</v>
      </c>
      <c r="W101" s="6">
        <f t="shared" si="27"/>
        <v>9</v>
      </c>
      <c r="X101" s="4">
        <f>IF('Indicator Data'!K103="No data","x",IF('Indicator Data'!K103&gt;X$149,0,IF('Indicator Data'!K103&lt;X$150,10,(X$149-'Indicator Data'!K103)/(X$149-X$150)*10)))</f>
        <v>3.4539999999999997</v>
      </c>
      <c r="Y101" s="6">
        <f>AVERAGE(U101,X101)</f>
        <v>4.2270000000000003</v>
      </c>
      <c r="Z101" s="7">
        <f t="shared" si="29"/>
        <v>5.7598200000000004</v>
      </c>
      <c r="AA101" s="139">
        <f t="shared" si="30"/>
        <v>9</v>
      </c>
    </row>
    <row r="102" spans="1:27" s="11" customFormat="1" x14ac:dyDescent="0.25">
      <c r="A102" s="16" t="s">
        <v>484</v>
      </c>
      <c r="B102" s="11" t="s">
        <v>578</v>
      </c>
      <c r="C102" s="16" t="s">
        <v>485</v>
      </c>
      <c r="D102" s="4">
        <f>IF('Indicator Data'!D104="No data","x",IF('Indicator Data'!D104=0,0,IF(LOG('Indicator Data'!D104)&gt;D$149,10,IF(LOG('Indicator Data'!D104)&lt;D$150,0,10-(D$149-LOG('Indicator Data'!D104))/(D$149-D$150)*10))))</f>
        <v>6.430002454016801</v>
      </c>
      <c r="E102" s="4">
        <f>IF('Indicator Data'!E104="No data","x",IF('Indicator Data'!E104=0,0,IF(LOG('Indicator Data'!E104)&gt;E$149,10,IF(LOG('Indicator Data'!E104)&lt;E$150,0,10-(E$149-LOG('Indicator Data'!E104))/(E$149-E$150)*10))))</f>
        <v>7.8662756074384088</v>
      </c>
      <c r="F102" s="4">
        <f>IF('Indicator Data'!F104="No data","x",IF('Indicator Data'!F104=0,0,IF(LOG('Indicator Data'!F104)&gt;F$149,10,IF(LOG('Indicator Data'!F104)&lt;F$150,0,10-(F$149-LOG('Indicator Data'!F104))/(F$149-F$150)*10))))</f>
        <v>0</v>
      </c>
      <c r="G102" s="135">
        <f t="shared" si="34"/>
        <v>5.2441837382922722</v>
      </c>
      <c r="H102" s="54">
        <f>IF('Indicator Data'!D104="No data","x",'Indicator Data'!D104/'Indicator Data'!AN104)</f>
        <v>0.58231582969873563</v>
      </c>
      <c r="I102" s="54">
        <f>IF('Indicator Data'!E104="No data","x",'Indicator Data'!E104/'Indicator Data'!$AN104)</f>
        <v>0.96365647264590137</v>
      </c>
      <c r="J102" s="54">
        <f>IF('Indicator Data'!F104="No data","x",'Indicator Data'!F104/'Indicator Data'!$AN104)</f>
        <v>0</v>
      </c>
      <c r="K102" s="4">
        <f t="shared" si="22"/>
        <v>10</v>
      </c>
      <c r="L102" s="4">
        <f t="shared" si="23"/>
        <v>10</v>
      </c>
      <c r="M102" s="4">
        <f t="shared" si="24"/>
        <v>0</v>
      </c>
      <c r="N102" s="135">
        <f t="shared" si="35"/>
        <v>7.5</v>
      </c>
      <c r="O102" s="6">
        <f t="shared" si="36"/>
        <v>8.8304901778528251</v>
      </c>
      <c r="P102" s="6">
        <f t="shared" si="37"/>
        <v>6.5082721367314917</v>
      </c>
      <c r="Q102" s="15">
        <f t="shared" si="25"/>
        <v>7.8711526364717743</v>
      </c>
      <c r="R102" s="4">
        <f>IF(VLOOKUP($B102,'Indicator Data (national)'!$B$5:$H$14,6,FALSE)="No data","x",IF(VLOOKUP($B102,'Indicator Data (national)'!$B$5:$H$14,6,FALSE)&gt;R$149,10,IF(VLOOKUP($B102,'Indicator Data (national)'!$B$5:$H$14,6,FALSE)&lt;R$150,0,10-(R$149-VLOOKUP($B102,'Indicator Data (national)'!$B$5:$H$14,6,FALSE))/(R$149-R$150)*10)))</f>
        <v>10</v>
      </c>
      <c r="S102" s="4">
        <f>IF(VLOOKUP($B102,'Indicator Data (national)'!$B$5:$H$14,7,FALSE)="No data","x",IF(VLOOKUP($B102,'Indicator Data (national)'!$B$5:$H$14,7,FALSE)&gt;S$149,10,IF(VLOOKUP($B102,'Indicator Data (national)'!$B$5:$H$14,7,FALSE)&lt;S$150,0,10-(S$149-VLOOKUP($B102,'Indicator Data (national)'!$B$5:$H$14,7,FALSE))/(S$149-S$150)*10)))</f>
        <v>8.7644945123377962</v>
      </c>
      <c r="T102" s="138">
        <f t="shared" si="26"/>
        <v>9.4963814816019507</v>
      </c>
      <c r="U102" s="6">
        <f>IF('Indicator Data'!G104=5,10,IF('Indicator Data'!G104=4,8,IF('Indicator Data'!G104=3,5,IF('Indicator Data'!G104=2,2,IF('Indicator Data'!G104=1,1,0)))))</f>
        <v>5</v>
      </c>
      <c r="V102" s="4">
        <f>IF('Indicator Data'!H104="No data","x",IF('Indicator Data'!H104&gt;1000,10,IF('Indicator Data'!H104&gt;=500,9,IF('Indicator Data'!H104&gt;=240,8,IF('Indicator Data'!H104&gt;=120,7,IF('Indicator Data'!H104&gt;=60,6,IF('Indicator Data'!H104&gt;=20,5,IF('Indicator Data'!H104&gt;=10,4,IF('Indicator Data'!H104&gt;=5,3,0)))))))))</f>
        <v>10</v>
      </c>
      <c r="W102" s="6">
        <f t="shared" si="27"/>
        <v>10</v>
      </c>
      <c r="X102" s="4">
        <f>IF('Indicator Data'!K104="No data","x",IF('Indicator Data'!K104&gt;X$149,0,IF('Indicator Data'!K104&lt;X$150,10,(X$149-'Indicator Data'!K104)/(X$149-X$150)*10)))</f>
        <v>3.4539999999999997</v>
      </c>
      <c r="Y102" s="6">
        <f t="shared" si="28"/>
        <v>4.2270000000000003</v>
      </c>
      <c r="Z102" s="7">
        <f t="shared" si="29"/>
        <v>6.0898200000000005</v>
      </c>
      <c r="AA102" s="139">
        <f t="shared" si="30"/>
        <v>10</v>
      </c>
    </row>
    <row r="103" spans="1:27" s="11" customFormat="1" x14ac:dyDescent="0.25">
      <c r="A103" s="16" t="s">
        <v>486</v>
      </c>
      <c r="B103" s="11" t="s">
        <v>578</v>
      </c>
      <c r="C103" s="16" t="s">
        <v>487</v>
      </c>
      <c r="D103" s="4">
        <f>IF('Indicator Data'!D105="No data","x",IF('Indicator Data'!D105=0,0,IF(LOG('Indicator Data'!D105)&gt;D$149,10,IF(LOG('Indicator Data'!D105)&lt;D$150,0,10-(D$149-LOG('Indicator Data'!D105))/(D$149-D$150)*10))))</f>
        <v>6.7288031877498353</v>
      </c>
      <c r="E103" s="4">
        <f>IF('Indicator Data'!E105="No data","x",IF('Indicator Data'!E105=0,0,IF(LOG('Indicator Data'!E105)&gt;E$149,10,IF(LOG('Indicator Data'!E105)&lt;E$150,0,10-(E$149-LOG('Indicator Data'!E105))/(E$149-E$150)*10))))</f>
        <v>8.3680357344331373</v>
      </c>
      <c r="F103" s="4">
        <f>IF('Indicator Data'!F105="No data","x",IF('Indicator Data'!F105=0,0,IF(LOG('Indicator Data'!F105)&gt;F$149,10,IF(LOG('Indicator Data'!F105)&lt;F$150,0,10-(F$149-LOG('Indicator Data'!F105))/(F$149-F$150)*10))))</f>
        <v>0</v>
      </c>
      <c r="G103" s="135">
        <f t="shared" si="34"/>
        <v>5.5786904896220912</v>
      </c>
      <c r="H103" s="54">
        <f>IF('Indicator Data'!D105="No data","x",'Indicator Data'!D105/'Indicator Data'!AN105)</f>
        <v>0.45220756739223938</v>
      </c>
      <c r="I103" s="54">
        <f>IF('Indicator Data'!E105="No data","x",'Indicator Data'!E105/'Indicator Data'!$AN105)</f>
        <v>0.92469186075208543</v>
      </c>
      <c r="J103" s="54">
        <f>IF('Indicator Data'!F105="No data","x",'Indicator Data'!F105/'Indicator Data'!$AN105)</f>
        <v>0</v>
      </c>
      <c r="K103" s="4">
        <f t="shared" si="22"/>
        <v>10</v>
      </c>
      <c r="L103" s="4">
        <f t="shared" si="23"/>
        <v>10</v>
      </c>
      <c r="M103" s="4">
        <f t="shared" si="24"/>
        <v>0</v>
      </c>
      <c r="N103" s="135">
        <f t="shared" si="35"/>
        <v>7.5</v>
      </c>
      <c r="O103" s="6">
        <f t="shared" si="36"/>
        <v>8.9044776966181267</v>
      </c>
      <c r="P103" s="6">
        <f t="shared" si="37"/>
        <v>6.6414147480905488</v>
      </c>
      <c r="Q103" s="15">
        <f t="shared" si="25"/>
        <v>7.9705727261715253</v>
      </c>
      <c r="R103" s="4">
        <f>IF(VLOOKUP($B103,'Indicator Data (national)'!$B$5:$H$14,6,FALSE)="No data","x",IF(VLOOKUP($B103,'Indicator Data (national)'!$B$5:$H$14,6,FALSE)&gt;R$149,10,IF(VLOOKUP($B103,'Indicator Data (national)'!$B$5:$H$14,6,FALSE)&lt;R$150,0,10-(R$149-VLOOKUP($B103,'Indicator Data (national)'!$B$5:$H$14,6,FALSE))/(R$149-R$150)*10)))</f>
        <v>10</v>
      </c>
      <c r="S103" s="4">
        <f>IF(VLOOKUP($B103,'Indicator Data (national)'!$B$5:$H$14,7,FALSE)="No data","x",IF(VLOOKUP($B103,'Indicator Data (national)'!$B$5:$H$14,7,FALSE)&gt;S$149,10,IF(VLOOKUP($B103,'Indicator Data (national)'!$B$5:$H$14,7,FALSE)&lt;S$150,0,10-(S$149-VLOOKUP($B103,'Indicator Data (national)'!$B$5:$H$14,7,FALSE))/(S$149-S$150)*10)))</f>
        <v>8.7644945123377962</v>
      </c>
      <c r="T103" s="138">
        <f t="shared" si="26"/>
        <v>9.4963814816019507</v>
      </c>
      <c r="U103" s="6">
        <f>IF('Indicator Data'!G105=5,10,IF('Indicator Data'!G105=4,8,IF('Indicator Data'!G105=3,5,IF('Indicator Data'!G105=2,2,IF('Indicator Data'!G105=1,1,0)))))</f>
        <v>5</v>
      </c>
      <c r="V103" s="4">
        <f>IF('Indicator Data'!H105="No data","x",IF('Indicator Data'!H105&gt;1000,10,IF('Indicator Data'!H105&gt;=500,9,IF('Indicator Data'!H105&gt;=240,8,IF('Indicator Data'!H105&gt;=120,7,IF('Indicator Data'!H105&gt;=60,6,IF('Indicator Data'!H105&gt;=20,5,IF('Indicator Data'!H105&gt;=10,4,IF('Indicator Data'!H105&gt;=5,3,0)))))))))</f>
        <v>10</v>
      </c>
      <c r="W103" s="6">
        <f t="shared" si="27"/>
        <v>10</v>
      </c>
      <c r="X103" s="4">
        <f>IF('Indicator Data'!K105="No data","x",IF('Indicator Data'!K105&gt;X$149,0,IF('Indicator Data'!K105&lt;X$150,10,(X$149-'Indicator Data'!K105)/(X$149-X$150)*10)))</f>
        <v>3.4539999999999997</v>
      </c>
      <c r="Y103" s="6">
        <f t="shared" si="28"/>
        <v>4.2270000000000003</v>
      </c>
      <c r="Z103" s="7">
        <f t="shared" si="29"/>
        <v>6.0898200000000005</v>
      </c>
      <c r="AA103" s="139">
        <f t="shared" si="30"/>
        <v>10</v>
      </c>
    </row>
    <row r="104" spans="1:27" s="11" customFormat="1" x14ac:dyDescent="0.25">
      <c r="A104" s="16" t="s">
        <v>488</v>
      </c>
      <c r="B104" s="11" t="s">
        <v>578</v>
      </c>
      <c r="C104" s="16" t="s">
        <v>489</v>
      </c>
      <c r="D104" s="4">
        <f>IF('Indicator Data'!D106="No data","x",IF('Indicator Data'!D106=0,0,IF(LOG('Indicator Data'!D106)&gt;D$149,10,IF(LOG('Indicator Data'!D106)&lt;D$150,0,10-(D$149-LOG('Indicator Data'!D106))/(D$149-D$150)*10))))</f>
        <v>6.0377273351144467</v>
      </c>
      <c r="E104" s="4">
        <f>IF('Indicator Data'!E106="No data","x",IF('Indicator Data'!E106=0,0,IF(LOG('Indicator Data'!E106)&gt;E$149,10,IF(LOG('Indicator Data'!E106)&lt;E$150,0,10-(E$149-LOG('Indicator Data'!E106))/(E$149-E$150)*10))))</f>
        <v>7.5715623470543658</v>
      </c>
      <c r="F104" s="4">
        <f>IF('Indicator Data'!F106="No data","x",IF('Indicator Data'!F106=0,0,IF(LOG('Indicator Data'!F106)&gt;F$149,10,IF(LOG('Indicator Data'!F106)&lt;F$150,0,10-(F$149-LOG('Indicator Data'!F106))/(F$149-F$150)*10))))</f>
        <v>0</v>
      </c>
      <c r="G104" s="135">
        <f t="shared" si="34"/>
        <v>5.0477082313695769</v>
      </c>
      <c r="H104" s="54">
        <f>IF('Indicator Data'!D106="No data","x",'Indicator Data'!D106/'Indicator Data'!AN106)</f>
        <v>0.46578373161281761</v>
      </c>
      <c r="I104" s="54">
        <f>IF('Indicator Data'!E106="No data","x",'Indicator Data'!E106/'Indicator Data'!$AN106)</f>
        <v>0.9654117705622558</v>
      </c>
      <c r="J104" s="54">
        <f>IF('Indicator Data'!F106="No data","x",'Indicator Data'!F106/'Indicator Data'!$AN106)</f>
        <v>0</v>
      </c>
      <c r="K104" s="4">
        <f t="shared" si="22"/>
        <v>10</v>
      </c>
      <c r="L104" s="4">
        <f t="shared" si="23"/>
        <v>10</v>
      </c>
      <c r="M104" s="4">
        <f t="shared" si="24"/>
        <v>0</v>
      </c>
      <c r="N104" s="135">
        <f t="shared" si="35"/>
        <v>7.5</v>
      </c>
      <c r="O104" s="6">
        <f t="shared" si="36"/>
        <v>8.7368547887144032</v>
      </c>
      <c r="P104" s="6">
        <f t="shared" si="37"/>
        <v>6.4318353647826516</v>
      </c>
      <c r="Q104" s="15">
        <f t="shared" si="25"/>
        <v>7.7779744465025447</v>
      </c>
      <c r="R104" s="4">
        <f>IF(VLOOKUP($B104,'Indicator Data (national)'!$B$5:$H$14,6,FALSE)="No data","x",IF(VLOOKUP($B104,'Indicator Data (national)'!$B$5:$H$14,6,FALSE)&gt;R$149,10,IF(VLOOKUP($B104,'Indicator Data (national)'!$B$5:$H$14,6,FALSE)&lt;R$150,0,10-(R$149-VLOOKUP($B104,'Indicator Data (national)'!$B$5:$H$14,6,FALSE))/(R$149-R$150)*10)))</f>
        <v>10</v>
      </c>
      <c r="S104" s="4">
        <f>IF(VLOOKUP($B104,'Indicator Data (national)'!$B$5:$H$14,7,FALSE)="No data","x",IF(VLOOKUP($B104,'Indicator Data (national)'!$B$5:$H$14,7,FALSE)&gt;S$149,10,IF(VLOOKUP($B104,'Indicator Data (national)'!$B$5:$H$14,7,FALSE)&lt;S$150,0,10-(S$149-VLOOKUP($B104,'Indicator Data (national)'!$B$5:$H$14,7,FALSE))/(S$149-S$150)*10)))</f>
        <v>8.7644945123377962</v>
      </c>
      <c r="T104" s="138">
        <f t="shared" si="26"/>
        <v>9.4963814816019507</v>
      </c>
      <c r="U104" s="6">
        <f>IF('Indicator Data'!G106=5,10,IF('Indicator Data'!G106=4,8,IF('Indicator Data'!G106=3,5,IF('Indicator Data'!G106=2,2,IF('Indicator Data'!G106=1,1,0)))))</f>
        <v>10</v>
      </c>
      <c r="V104" s="4">
        <f>IF('Indicator Data'!H106="No data","x",IF('Indicator Data'!H106&gt;1000,10,IF('Indicator Data'!H106&gt;=500,9,IF('Indicator Data'!H106&gt;=240,8,IF('Indicator Data'!H106&gt;=120,7,IF('Indicator Data'!H106&gt;=60,6,IF('Indicator Data'!H106&gt;=20,5,IF('Indicator Data'!H106&gt;=10,4,IF('Indicator Data'!H106&gt;=5,3,0)))))))))</f>
        <v>7</v>
      </c>
      <c r="W104" s="6">
        <f t="shared" si="27"/>
        <v>10</v>
      </c>
      <c r="X104" s="4">
        <f>IF('Indicator Data'!K106="No data","x",IF('Indicator Data'!K106&gt;X$149,0,IF('Indicator Data'!K106&lt;X$150,10,(X$149-'Indicator Data'!K106)/(X$149-X$150)*10)))</f>
        <v>3.4539999999999997</v>
      </c>
      <c r="Y104" s="6">
        <f t="shared" si="28"/>
        <v>6.7270000000000003</v>
      </c>
      <c r="Z104" s="7">
        <f t="shared" si="29"/>
        <v>7.7398199999999999</v>
      </c>
      <c r="AA104" s="139">
        <f t="shared" si="30"/>
        <v>10</v>
      </c>
    </row>
    <row r="105" spans="1:27" s="11" customFormat="1" x14ac:dyDescent="0.25">
      <c r="A105" s="16" t="s">
        <v>490</v>
      </c>
      <c r="B105" s="11" t="s">
        <v>578</v>
      </c>
      <c r="C105" s="16" t="s">
        <v>491</v>
      </c>
      <c r="D105" s="4">
        <f>IF('Indicator Data'!D107="No data","x",IF('Indicator Data'!D107=0,0,IF(LOG('Indicator Data'!D107)&gt;D$149,10,IF(LOG('Indicator Data'!D107)&lt;D$150,0,10-(D$149-LOG('Indicator Data'!D107))/(D$149-D$150)*10))))</f>
        <v>6.6013196224728086</v>
      </c>
      <c r="E105" s="4">
        <f>IF('Indicator Data'!E107="No data","x",IF('Indicator Data'!E107=0,0,IF(LOG('Indicator Data'!E107)&gt;E$149,10,IF(LOG('Indicator Data'!E107)&lt;E$150,0,10-(E$149-LOG('Indicator Data'!E107))/(E$149-E$150)*10))))</f>
        <v>8.0628104495374799</v>
      </c>
      <c r="F105" s="4">
        <f>IF('Indicator Data'!F107="No data","x",IF('Indicator Data'!F107=0,0,IF(LOG('Indicator Data'!F107)&gt;F$149,10,IF(LOG('Indicator Data'!F107)&lt;F$150,0,10-(F$149-LOG('Indicator Data'!F107))/(F$149-F$150)*10))))</f>
        <v>0</v>
      </c>
      <c r="G105" s="135">
        <f t="shared" si="34"/>
        <v>5.37520696635832</v>
      </c>
      <c r="H105" s="54">
        <f>IF('Indicator Data'!D107="No data","x",'Indicator Data'!D107/'Indicator Data'!AN107)</f>
        <v>0.54885625659371917</v>
      </c>
      <c r="I105" s="54">
        <f>IF('Indicator Data'!E107="No data","x",'Indicator Data'!E107/'Indicator Data'!$AN107)</f>
        <v>0.90410975101853663</v>
      </c>
      <c r="J105" s="54">
        <f>IF('Indicator Data'!F107="No data","x",'Indicator Data'!F107/'Indicator Data'!$AN107)</f>
        <v>0</v>
      </c>
      <c r="K105" s="4">
        <f t="shared" si="22"/>
        <v>10</v>
      </c>
      <c r="L105" s="4">
        <f t="shared" si="23"/>
        <v>10</v>
      </c>
      <c r="M105" s="4">
        <f t="shared" si="24"/>
        <v>0</v>
      </c>
      <c r="N105" s="135">
        <f t="shared" si="35"/>
        <v>7.5</v>
      </c>
      <c r="O105" s="6">
        <f t="shared" si="36"/>
        <v>8.8726117405906866</v>
      </c>
      <c r="P105" s="6">
        <f t="shared" si="37"/>
        <v>6.5599588186268134</v>
      </c>
      <c r="Q105" s="15">
        <f t="shared" si="25"/>
        <v>7.9192853730939659</v>
      </c>
      <c r="R105" s="4">
        <f>IF(VLOOKUP($B105,'Indicator Data (national)'!$B$5:$H$14,6,FALSE)="No data","x",IF(VLOOKUP($B105,'Indicator Data (national)'!$B$5:$H$14,6,FALSE)&gt;R$149,10,IF(VLOOKUP($B105,'Indicator Data (national)'!$B$5:$H$14,6,FALSE)&lt;R$150,0,10-(R$149-VLOOKUP($B105,'Indicator Data (national)'!$B$5:$H$14,6,FALSE))/(R$149-R$150)*10)))</f>
        <v>10</v>
      </c>
      <c r="S105" s="4">
        <f>IF(VLOOKUP($B105,'Indicator Data (national)'!$B$5:$H$14,7,FALSE)="No data","x",IF(VLOOKUP($B105,'Indicator Data (national)'!$B$5:$H$14,7,FALSE)&gt;S$149,10,IF(VLOOKUP($B105,'Indicator Data (national)'!$B$5:$H$14,7,FALSE)&lt;S$150,0,10-(S$149-VLOOKUP($B105,'Indicator Data (national)'!$B$5:$H$14,7,FALSE))/(S$149-S$150)*10)))</f>
        <v>8.7644945123377962</v>
      </c>
      <c r="T105" s="138">
        <f t="shared" si="26"/>
        <v>9.4963814816019507</v>
      </c>
      <c r="U105" s="6">
        <f>IF('Indicator Data'!G107=5,10,IF('Indicator Data'!G107=4,8,IF('Indicator Data'!G107=3,5,IF('Indicator Data'!G107=2,2,IF('Indicator Data'!G107=1,1,0)))))</f>
        <v>5</v>
      </c>
      <c r="V105" s="4">
        <f>IF('Indicator Data'!H107="No data","x",IF('Indicator Data'!H107&gt;1000,10,IF('Indicator Data'!H107&gt;=500,9,IF('Indicator Data'!H107&gt;=240,8,IF('Indicator Data'!H107&gt;=120,7,IF('Indicator Data'!H107&gt;=60,6,IF('Indicator Data'!H107&gt;=20,5,IF('Indicator Data'!H107&gt;=10,4,IF('Indicator Data'!H107&gt;=5,3,0)))))))))</f>
        <v>8</v>
      </c>
      <c r="W105" s="6">
        <f t="shared" si="27"/>
        <v>8</v>
      </c>
      <c r="X105" s="4">
        <f>IF('Indicator Data'!K107="No data","x",IF('Indicator Data'!K107&gt;X$149,0,IF('Indicator Data'!K107&lt;X$150,10,(X$149-'Indicator Data'!K107)/(X$149-X$150)*10)))</f>
        <v>3.4539999999999997</v>
      </c>
      <c r="Y105" s="6">
        <f t="shared" si="28"/>
        <v>4.2270000000000003</v>
      </c>
      <c r="Z105" s="7">
        <f t="shared" si="29"/>
        <v>5.4298200000000003</v>
      </c>
      <c r="AA105" s="139">
        <f t="shared" si="30"/>
        <v>8</v>
      </c>
    </row>
    <row r="106" spans="1:27" s="11" customFormat="1" x14ac:dyDescent="0.25">
      <c r="A106" s="16" t="s">
        <v>492</v>
      </c>
      <c r="B106" s="11" t="s">
        <v>578</v>
      </c>
      <c r="C106" s="16" t="s">
        <v>493</v>
      </c>
      <c r="D106" s="4">
        <f>IF('Indicator Data'!D108="No data","x",IF('Indicator Data'!D108=0,0,IF(LOG('Indicator Data'!D108)&gt;D$149,10,IF(LOG('Indicator Data'!D108)&lt;D$150,0,10-(D$149-LOG('Indicator Data'!D108))/(D$149-D$150)*10))))</f>
        <v>0</v>
      </c>
      <c r="E106" s="4">
        <f>IF('Indicator Data'!E108="No data","x",IF('Indicator Data'!E108=0,0,IF(LOG('Indicator Data'!E108)&gt;E$149,10,IF(LOG('Indicator Data'!E108)&lt;E$150,0,10-(E$149-LOG('Indicator Data'!E108))/(E$149-E$150)*10))))</f>
        <v>7.3767077401459673</v>
      </c>
      <c r="F106" s="4">
        <f>IF('Indicator Data'!F108="No data","x",IF('Indicator Data'!F108=0,0,IF(LOG('Indicator Data'!F108)&gt;F$149,10,IF(LOG('Indicator Data'!F108)&lt;F$150,0,10-(F$149-LOG('Indicator Data'!F108))/(F$149-F$150)*10))))</f>
        <v>0</v>
      </c>
      <c r="G106" s="135">
        <f t="shared" si="34"/>
        <v>4.9178051600973118</v>
      </c>
      <c r="H106" s="54">
        <f>IF('Indicator Data'!D108="No data","x",'Indicator Data'!D108/'Indicator Data'!AN108)</f>
        <v>0</v>
      </c>
      <c r="I106" s="54">
        <f>IF('Indicator Data'!E108="No data","x",'Indicator Data'!E108/'Indicator Data'!$AN108)</f>
        <v>0.38934452554744525</v>
      </c>
      <c r="J106" s="54">
        <f>IF('Indicator Data'!F108="No data","x",'Indicator Data'!F108/'Indicator Data'!$AN108)</f>
        <v>0</v>
      </c>
      <c r="K106" s="4">
        <f t="shared" si="22"/>
        <v>0</v>
      </c>
      <c r="L106" s="4">
        <f t="shared" si="23"/>
        <v>10</v>
      </c>
      <c r="M106" s="4">
        <f t="shared" si="24"/>
        <v>0</v>
      </c>
      <c r="N106" s="135">
        <f t="shared" si="35"/>
        <v>7.5</v>
      </c>
      <c r="O106" s="6">
        <f t="shared" si="36"/>
        <v>0</v>
      </c>
      <c r="P106" s="6">
        <f t="shared" si="37"/>
        <v>6.3819763134746026</v>
      </c>
      <c r="Q106" s="15">
        <f t="shared" si="25"/>
        <v>3.8622531185745492</v>
      </c>
      <c r="R106" s="4">
        <f>IF(VLOOKUP($B106,'Indicator Data (national)'!$B$5:$H$14,6,FALSE)="No data","x",IF(VLOOKUP($B106,'Indicator Data (national)'!$B$5:$H$14,6,FALSE)&gt;R$149,10,IF(VLOOKUP($B106,'Indicator Data (national)'!$B$5:$H$14,6,FALSE)&lt;R$150,0,10-(R$149-VLOOKUP($B106,'Indicator Data (national)'!$B$5:$H$14,6,FALSE))/(R$149-R$150)*10)))</f>
        <v>10</v>
      </c>
      <c r="S106" s="4">
        <f>IF(VLOOKUP($B106,'Indicator Data (national)'!$B$5:$H$14,7,FALSE)="No data","x",IF(VLOOKUP($B106,'Indicator Data (national)'!$B$5:$H$14,7,FALSE)&gt;S$149,10,IF(VLOOKUP($B106,'Indicator Data (national)'!$B$5:$H$14,7,FALSE)&lt;S$150,0,10-(S$149-VLOOKUP($B106,'Indicator Data (national)'!$B$5:$H$14,7,FALSE))/(S$149-S$150)*10)))</f>
        <v>8.7644945123377962</v>
      </c>
      <c r="T106" s="138">
        <f t="shared" si="26"/>
        <v>9.4963814816019507</v>
      </c>
      <c r="U106" s="6">
        <f>IF('Indicator Data'!G108=5,10,IF('Indicator Data'!G108=4,8,IF('Indicator Data'!G108=3,5,IF('Indicator Data'!G108=2,2,IF('Indicator Data'!G108=1,1,0)))))</f>
        <v>5</v>
      </c>
      <c r="V106" s="4">
        <f>IF('Indicator Data'!H108="No data","x",IF('Indicator Data'!H108&gt;1000,10,IF('Indicator Data'!H108&gt;=500,9,IF('Indicator Data'!H108&gt;=240,8,IF('Indicator Data'!H108&gt;=120,7,IF('Indicator Data'!H108&gt;=60,6,IF('Indicator Data'!H108&gt;=20,5,IF('Indicator Data'!H108&gt;=10,4,IF('Indicator Data'!H108&gt;=5,3,0)))))))))</f>
        <v>8</v>
      </c>
      <c r="W106" s="6">
        <f t="shared" si="27"/>
        <v>8</v>
      </c>
      <c r="X106" s="4">
        <f>IF('Indicator Data'!K108="No data","x",IF('Indicator Data'!K108&gt;X$149,0,IF('Indicator Data'!K108&lt;X$150,10,(X$149-'Indicator Data'!K108)/(X$149-X$150)*10)))</f>
        <v>3.4539999999999997</v>
      </c>
      <c r="Y106" s="6">
        <f t="shared" si="28"/>
        <v>4.2270000000000003</v>
      </c>
      <c r="Z106" s="7">
        <f t="shared" si="29"/>
        <v>5.4298200000000003</v>
      </c>
      <c r="AA106" s="139">
        <f t="shared" si="30"/>
        <v>8</v>
      </c>
    </row>
    <row r="107" spans="1:27" s="11" customFormat="1" x14ac:dyDescent="0.25">
      <c r="A107" s="16" t="s">
        <v>494</v>
      </c>
      <c r="B107" s="11" t="s">
        <v>578</v>
      </c>
      <c r="C107" s="16" t="s">
        <v>495</v>
      </c>
      <c r="D107" s="4">
        <f>IF('Indicator Data'!D109="No data","x",IF('Indicator Data'!D109=0,0,IF(LOG('Indicator Data'!D109)&gt;D$149,10,IF(LOG('Indicator Data'!D109)&lt;D$150,0,10-(D$149-LOG('Indicator Data'!D109))/(D$149-D$150)*10))))</f>
        <v>0</v>
      </c>
      <c r="E107" s="4">
        <f>IF('Indicator Data'!E109="No data","x",IF('Indicator Data'!E109=0,0,IF(LOG('Indicator Data'!E109)&gt;E$149,10,IF(LOG('Indicator Data'!E109)&lt;E$150,0,10-(E$149-LOG('Indicator Data'!E109))/(E$149-E$150)*10))))</f>
        <v>6.1933528256190895</v>
      </c>
      <c r="F107" s="4">
        <f>IF('Indicator Data'!F109="No data","x",IF('Indicator Data'!F109=0,0,IF(LOG('Indicator Data'!F109)&gt;F$149,10,IF(LOG('Indicator Data'!F109)&lt;F$150,0,10-(F$149-LOG('Indicator Data'!F109))/(F$149-F$150)*10))))</f>
        <v>0</v>
      </c>
      <c r="G107" s="135">
        <f t="shared" si="34"/>
        <v>4.1289018837460594</v>
      </c>
      <c r="H107" s="54">
        <f>IF('Indicator Data'!D109="No data","x",'Indicator Data'!D109/'Indicator Data'!AN109)</f>
        <v>0</v>
      </c>
      <c r="I107" s="54">
        <f>IF('Indicator Data'!E109="No data","x",'Indicator Data'!E109/'Indicator Data'!$AN109)</f>
        <v>0.45974237240184246</v>
      </c>
      <c r="J107" s="54">
        <f>IF('Indicator Data'!F109="No data","x",'Indicator Data'!F109/'Indicator Data'!$AN109)</f>
        <v>0</v>
      </c>
      <c r="K107" s="4">
        <f t="shared" si="22"/>
        <v>0</v>
      </c>
      <c r="L107" s="4">
        <f t="shared" si="23"/>
        <v>10</v>
      </c>
      <c r="M107" s="4">
        <f t="shared" si="24"/>
        <v>0</v>
      </c>
      <c r="N107" s="135">
        <f t="shared" si="35"/>
        <v>7.5</v>
      </c>
      <c r="O107" s="6">
        <f t="shared" si="36"/>
        <v>0</v>
      </c>
      <c r="P107" s="6">
        <f t="shared" si="37"/>
        <v>6.0898031817922504</v>
      </c>
      <c r="Q107" s="15">
        <f t="shared" si="25"/>
        <v>3.6416860779666504</v>
      </c>
      <c r="R107" s="4">
        <f>IF(VLOOKUP($B107,'Indicator Data (national)'!$B$5:$H$14,6,FALSE)="No data","x",IF(VLOOKUP($B107,'Indicator Data (national)'!$B$5:$H$14,6,FALSE)&gt;R$149,10,IF(VLOOKUP($B107,'Indicator Data (national)'!$B$5:$H$14,6,FALSE)&lt;R$150,0,10-(R$149-VLOOKUP($B107,'Indicator Data (national)'!$B$5:$H$14,6,FALSE))/(R$149-R$150)*10)))</f>
        <v>10</v>
      </c>
      <c r="S107" s="4">
        <f>IF(VLOOKUP($B107,'Indicator Data (national)'!$B$5:$H$14,7,FALSE)="No data","x",IF(VLOOKUP($B107,'Indicator Data (national)'!$B$5:$H$14,7,FALSE)&gt;S$149,10,IF(VLOOKUP($B107,'Indicator Data (national)'!$B$5:$H$14,7,FALSE)&lt;S$150,0,10-(S$149-VLOOKUP($B107,'Indicator Data (national)'!$B$5:$H$14,7,FALSE))/(S$149-S$150)*10)))</f>
        <v>8.7644945123377962</v>
      </c>
      <c r="T107" s="138">
        <f t="shared" si="26"/>
        <v>9.4963814816019507</v>
      </c>
      <c r="U107" s="6">
        <f>IF('Indicator Data'!G109=5,10,IF('Indicator Data'!G109=4,8,IF('Indicator Data'!G109=3,5,IF('Indicator Data'!G109=2,2,IF('Indicator Data'!G109=1,1,0)))))</f>
        <v>0</v>
      </c>
      <c r="V107" s="4">
        <f>IF('Indicator Data'!H109="No data","x",IF('Indicator Data'!H109&gt;1000,10,IF('Indicator Data'!H109&gt;=500,9,IF('Indicator Data'!H109&gt;=240,8,IF('Indicator Data'!H109&gt;=120,7,IF('Indicator Data'!H109&gt;=60,6,IF('Indicator Data'!H109&gt;=20,5,IF('Indicator Data'!H109&gt;=10,4,IF('Indicator Data'!H109&gt;=5,3,0)))))))))</f>
        <v>5</v>
      </c>
      <c r="W107" s="6">
        <f t="shared" si="27"/>
        <v>5</v>
      </c>
      <c r="X107" s="4">
        <f>IF('Indicator Data'!K109="No data","x",IF('Indicator Data'!K109&gt;X$149,0,IF('Indicator Data'!K109&lt;X$150,10,(X$149-'Indicator Data'!K109)/(X$149-X$150)*10)))</f>
        <v>3.4539999999999997</v>
      </c>
      <c r="Y107" s="6">
        <f t="shared" si="28"/>
        <v>1.7269999999999999</v>
      </c>
      <c r="Z107" s="7">
        <f t="shared" si="29"/>
        <v>2.7898200000000002</v>
      </c>
      <c r="AA107" s="139">
        <f t="shared" si="30"/>
        <v>7.2481907408009754</v>
      </c>
    </row>
    <row r="108" spans="1:27" s="11" customFormat="1" x14ac:dyDescent="0.25">
      <c r="A108" s="16" t="s">
        <v>496</v>
      </c>
      <c r="B108" s="11" t="s">
        <v>578</v>
      </c>
      <c r="C108" s="16" t="s">
        <v>497</v>
      </c>
      <c r="D108" s="4">
        <f>IF('Indicator Data'!D110="No data","x",IF('Indicator Data'!D110=0,0,IF(LOG('Indicator Data'!D110)&gt;D$149,10,IF(LOG('Indicator Data'!D110)&lt;D$150,0,10-(D$149-LOG('Indicator Data'!D110))/(D$149-D$150)*10))))</f>
        <v>0</v>
      </c>
      <c r="E108" s="4">
        <f>IF('Indicator Data'!E110="No data","x",IF('Indicator Data'!E110=0,0,IF(LOG('Indicator Data'!E110)&gt;E$149,10,IF(LOG('Indicator Data'!E110)&lt;E$150,0,10-(E$149-LOG('Indicator Data'!E110))/(E$149-E$150)*10))))</f>
        <v>7.3936945527172897</v>
      </c>
      <c r="F108" s="4">
        <f>IF('Indicator Data'!F110="No data","x",IF('Indicator Data'!F110=0,0,IF(LOG('Indicator Data'!F110)&gt;F$149,10,IF(LOG('Indicator Data'!F110)&lt;F$150,0,10-(F$149-LOG('Indicator Data'!F110))/(F$149-F$150)*10))))</f>
        <v>0</v>
      </c>
      <c r="G108" s="135">
        <f t="shared" si="34"/>
        <v>4.9291297018115268</v>
      </c>
      <c r="H108" s="54">
        <f>IF('Indicator Data'!D110="No data","x",'Indicator Data'!D110/'Indicator Data'!AN110)</f>
        <v>0</v>
      </c>
      <c r="I108" s="54">
        <f>IF('Indicator Data'!E110="No data","x",'Indicator Data'!E110/'Indicator Data'!$AN110)</f>
        <v>0.57648082225910113</v>
      </c>
      <c r="J108" s="54">
        <f>IF('Indicator Data'!F110="No data","x",'Indicator Data'!F110/'Indicator Data'!$AN110)</f>
        <v>0</v>
      </c>
      <c r="K108" s="4">
        <f t="shared" si="22"/>
        <v>0</v>
      </c>
      <c r="L108" s="4">
        <f t="shared" si="23"/>
        <v>10</v>
      </c>
      <c r="M108" s="4">
        <f t="shared" si="24"/>
        <v>0</v>
      </c>
      <c r="N108" s="135">
        <f t="shared" si="35"/>
        <v>7.5</v>
      </c>
      <c r="O108" s="6">
        <f t="shared" si="36"/>
        <v>0</v>
      </c>
      <c r="P108" s="6">
        <f t="shared" si="37"/>
        <v>6.3863019344560312</v>
      </c>
      <c r="Q108" s="15">
        <f t="shared" si="25"/>
        <v>3.8655690512917089</v>
      </c>
      <c r="R108" s="4">
        <f>IF(VLOOKUP($B108,'Indicator Data (national)'!$B$5:$H$14,6,FALSE)="No data","x",IF(VLOOKUP($B108,'Indicator Data (national)'!$B$5:$H$14,6,FALSE)&gt;R$149,10,IF(VLOOKUP($B108,'Indicator Data (national)'!$B$5:$H$14,6,FALSE)&lt;R$150,0,10-(R$149-VLOOKUP($B108,'Indicator Data (national)'!$B$5:$H$14,6,FALSE))/(R$149-R$150)*10)))</f>
        <v>10</v>
      </c>
      <c r="S108" s="4">
        <f>IF(VLOOKUP($B108,'Indicator Data (national)'!$B$5:$H$14,7,FALSE)="No data","x",IF(VLOOKUP($B108,'Indicator Data (national)'!$B$5:$H$14,7,FALSE)&gt;S$149,10,IF(VLOOKUP($B108,'Indicator Data (national)'!$B$5:$H$14,7,FALSE)&lt;S$150,0,10-(S$149-VLOOKUP($B108,'Indicator Data (national)'!$B$5:$H$14,7,FALSE))/(S$149-S$150)*10)))</f>
        <v>8.7644945123377962</v>
      </c>
      <c r="T108" s="138">
        <f t="shared" si="26"/>
        <v>9.4963814816019507</v>
      </c>
      <c r="U108" s="6">
        <f>IF('Indicator Data'!G110=5,10,IF('Indicator Data'!G110=4,8,IF('Indicator Data'!G110=3,5,IF('Indicator Data'!G110=2,2,IF('Indicator Data'!G110=1,1,0)))))</f>
        <v>0</v>
      </c>
      <c r="V108" s="4">
        <f>IF('Indicator Data'!H110="No data","x",IF('Indicator Data'!H110&gt;1000,10,IF('Indicator Data'!H110&gt;=500,9,IF('Indicator Data'!H110&gt;=240,8,IF('Indicator Data'!H110&gt;=120,7,IF('Indicator Data'!H110&gt;=60,6,IF('Indicator Data'!H110&gt;=20,5,IF('Indicator Data'!H110&gt;=10,4,IF('Indicator Data'!H110&gt;=5,3,0)))))))))</f>
        <v>5</v>
      </c>
      <c r="W108" s="6">
        <f t="shared" si="27"/>
        <v>5</v>
      </c>
      <c r="X108" s="4">
        <f>IF('Indicator Data'!K110="No data","x",IF('Indicator Data'!K110&gt;X$149,0,IF('Indicator Data'!K110&lt;X$150,10,(X$149-'Indicator Data'!K110)/(X$149-X$150)*10)))</f>
        <v>3.4539999999999997</v>
      </c>
      <c r="Y108" s="6">
        <f t="shared" si="28"/>
        <v>1.7269999999999999</v>
      </c>
      <c r="Z108" s="7">
        <f t="shared" si="29"/>
        <v>2.7898200000000002</v>
      </c>
      <c r="AA108" s="139">
        <f t="shared" si="30"/>
        <v>7.2481907408009754</v>
      </c>
    </row>
    <row r="109" spans="1:27" s="11" customFormat="1" x14ac:dyDescent="0.25">
      <c r="A109" s="16" t="s">
        <v>498</v>
      </c>
      <c r="B109" s="11" t="s">
        <v>578</v>
      </c>
      <c r="C109" s="16" t="s">
        <v>499</v>
      </c>
      <c r="D109" s="4">
        <f>IF('Indicator Data'!D111="No data","x",IF('Indicator Data'!D111=0,0,IF(LOG('Indicator Data'!D111)&gt;D$149,10,IF(LOG('Indicator Data'!D111)&lt;D$150,0,10-(D$149-LOG('Indicator Data'!D111))/(D$149-D$150)*10))))</f>
        <v>0</v>
      </c>
      <c r="E109" s="4">
        <f>IF('Indicator Data'!E111="No data","x",IF('Indicator Data'!E111=0,0,IF(LOG('Indicator Data'!E111)&gt;E$149,10,IF(LOG('Indicator Data'!E111)&lt;E$150,0,10-(E$149-LOG('Indicator Data'!E111))/(E$149-E$150)*10))))</f>
        <v>6.8736246542394923</v>
      </c>
      <c r="F109" s="4">
        <f>IF('Indicator Data'!F111="No data","x",IF('Indicator Data'!F111=0,0,IF(LOG('Indicator Data'!F111)&gt;F$149,10,IF(LOG('Indicator Data'!F111)&lt;F$150,0,10-(F$149-LOG('Indicator Data'!F111))/(F$149-F$150)*10))))</f>
        <v>0</v>
      </c>
      <c r="G109" s="135">
        <f t="shared" si="34"/>
        <v>4.5824164361596615</v>
      </c>
      <c r="H109" s="54">
        <f>IF('Indicator Data'!D111="No data","x",'Indicator Data'!D111/'Indicator Data'!AN111)</f>
        <v>0</v>
      </c>
      <c r="I109" s="54">
        <f>IF('Indicator Data'!E111="No data","x",'Indicator Data'!E111/'Indicator Data'!$AN111)</f>
        <v>0.67672181490934602</v>
      </c>
      <c r="J109" s="54">
        <f>IF('Indicator Data'!F111="No data","x",'Indicator Data'!F111/'Indicator Data'!$AN111)</f>
        <v>0</v>
      </c>
      <c r="K109" s="4">
        <f t="shared" si="22"/>
        <v>0</v>
      </c>
      <c r="L109" s="4">
        <f t="shared" si="23"/>
        <v>10</v>
      </c>
      <c r="M109" s="4">
        <f t="shared" si="24"/>
        <v>0</v>
      </c>
      <c r="N109" s="135">
        <f t="shared" si="35"/>
        <v>7.5</v>
      </c>
      <c r="O109" s="6">
        <f t="shared" si="36"/>
        <v>0</v>
      </c>
      <c r="P109" s="6">
        <f t="shared" si="37"/>
        <v>6.2556150621199151</v>
      </c>
      <c r="Q109" s="15">
        <f t="shared" si="25"/>
        <v>3.7660477281373348</v>
      </c>
      <c r="R109" s="4">
        <f>IF(VLOOKUP($B109,'Indicator Data (national)'!$B$5:$H$14,6,FALSE)="No data","x",IF(VLOOKUP($B109,'Indicator Data (national)'!$B$5:$H$14,6,FALSE)&gt;R$149,10,IF(VLOOKUP($B109,'Indicator Data (national)'!$B$5:$H$14,6,FALSE)&lt;R$150,0,10-(R$149-VLOOKUP($B109,'Indicator Data (national)'!$B$5:$H$14,6,FALSE))/(R$149-R$150)*10)))</f>
        <v>10</v>
      </c>
      <c r="S109" s="4">
        <f>IF(VLOOKUP($B109,'Indicator Data (national)'!$B$5:$H$14,7,FALSE)="No data","x",IF(VLOOKUP($B109,'Indicator Data (national)'!$B$5:$H$14,7,FALSE)&gt;S$149,10,IF(VLOOKUP($B109,'Indicator Data (national)'!$B$5:$H$14,7,FALSE)&lt;S$150,0,10-(S$149-VLOOKUP($B109,'Indicator Data (national)'!$B$5:$H$14,7,FALSE))/(S$149-S$150)*10)))</f>
        <v>8.7644945123377962</v>
      </c>
      <c r="T109" s="138">
        <f t="shared" si="26"/>
        <v>9.4963814816019507</v>
      </c>
      <c r="U109" s="6">
        <f>IF('Indicator Data'!G111=5,10,IF('Indicator Data'!G111=4,8,IF('Indicator Data'!G111=3,5,IF('Indicator Data'!G111=2,2,IF('Indicator Data'!G111=1,1,0)))))</f>
        <v>5</v>
      </c>
      <c r="V109" s="4">
        <f>IF('Indicator Data'!H111="No data","x",IF('Indicator Data'!H111&gt;1000,10,IF('Indicator Data'!H111&gt;=500,9,IF('Indicator Data'!H111&gt;=240,8,IF('Indicator Data'!H111&gt;=120,7,IF('Indicator Data'!H111&gt;=60,6,IF('Indicator Data'!H111&gt;=20,5,IF('Indicator Data'!H111&gt;=10,4,IF('Indicator Data'!H111&gt;=5,3,0)))))))))</f>
        <v>7</v>
      </c>
      <c r="W109" s="6">
        <f t="shared" si="27"/>
        <v>7</v>
      </c>
      <c r="X109" s="4">
        <f>IF('Indicator Data'!K111="No data","x",IF('Indicator Data'!K111&gt;X$149,0,IF('Indicator Data'!K111&lt;X$150,10,(X$149-'Indicator Data'!K111)/(X$149-X$150)*10)))</f>
        <v>3.4539999999999997</v>
      </c>
      <c r="Y109" s="6">
        <f t="shared" si="28"/>
        <v>4.2270000000000003</v>
      </c>
      <c r="Z109" s="7">
        <f t="shared" si="29"/>
        <v>5.0998200000000002</v>
      </c>
      <c r="AA109" s="139">
        <f t="shared" si="30"/>
        <v>8.2481907408009754</v>
      </c>
    </row>
    <row r="110" spans="1:27" s="11" customFormat="1" x14ac:dyDescent="0.25">
      <c r="A110" s="16" t="s">
        <v>500</v>
      </c>
      <c r="B110" s="11" t="s">
        <v>578</v>
      </c>
      <c r="C110" s="16" t="s">
        <v>501</v>
      </c>
      <c r="D110" s="4">
        <f>IF('Indicator Data'!D112="No data","x",IF('Indicator Data'!D112=0,0,IF(LOG('Indicator Data'!D112)&gt;D$149,10,IF(LOG('Indicator Data'!D112)&lt;D$150,0,10-(D$149-LOG('Indicator Data'!D112))/(D$149-D$150)*10))))</f>
        <v>3.4123342419311262</v>
      </c>
      <c r="E110" s="4">
        <f>IF('Indicator Data'!E112="No data","x",IF('Indicator Data'!E112=0,0,IF(LOG('Indicator Data'!E112)&gt;E$149,10,IF(LOG('Indicator Data'!E112)&lt;E$150,0,10-(E$149-LOG('Indicator Data'!E112))/(E$149-E$150)*10))))</f>
        <v>7.3292888489340413</v>
      </c>
      <c r="F110" s="4">
        <f>IF('Indicator Data'!F112="No data","x",IF('Indicator Data'!F112=0,0,IF(LOG('Indicator Data'!F112)&gt;F$149,10,IF(LOG('Indicator Data'!F112)&lt;F$150,0,10-(F$149-LOG('Indicator Data'!F112))/(F$149-F$150)*10))))</f>
        <v>0</v>
      </c>
      <c r="G110" s="135">
        <f t="shared" si="34"/>
        <v>4.8861925659560272</v>
      </c>
      <c r="H110" s="54">
        <f>IF('Indicator Data'!D112="No data","x",'Indicator Data'!D112/'Indicator Data'!AN112)</f>
        <v>4.104155310495199E-3</v>
      </c>
      <c r="I110" s="54">
        <f>IF('Indicator Data'!E112="No data","x",'Indicator Data'!E112/'Indicator Data'!$AN112)</f>
        <v>0.41895089940878022</v>
      </c>
      <c r="J110" s="54">
        <f>IF('Indicator Data'!F112="No data","x",'Indicator Data'!F112/'Indicator Data'!$AN112)</f>
        <v>0</v>
      </c>
      <c r="K110" s="4">
        <f t="shared" si="22"/>
        <v>0.2052077655247615</v>
      </c>
      <c r="L110" s="4">
        <f t="shared" si="23"/>
        <v>10</v>
      </c>
      <c r="M110" s="4">
        <f t="shared" si="24"/>
        <v>0</v>
      </c>
      <c r="N110" s="135">
        <f t="shared" si="35"/>
        <v>7.5</v>
      </c>
      <c r="O110" s="6">
        <f t="shared" si="36"/>
        <v>1.94802667329691</v>
      </c>
      <c r="P110" s="6">
        <f t="shared" si="37"/>
        <v>6.3699221753934951</v>
      </c>
      <c r="Q110" s="15">
        <f t="shared" si="25"/>
        <v>4.5199113300688945</v>
      </c>
      <c r="R110" s="4">
        <f>IF(VLOOKUP($B110,'Indicator Data (national)'!$B$5:$H$14,6,FALSE)="No data","x",IF(VLOOKUP($B110,'Indicator Data (national)'!$B$5:$H$14,6,FALSE)&gt;R$149,10,IF(VLOOKUP($B110,'Indicator Data (national)'!$B$5:$H$14,6,FALSE)&lt;R$150,0,10-(R$149-VLOOKUP($B110,'Indicator Data (national)'!$B$5:$H$14,6,FALSE))/(R$149-R$150)*10)))</f>
        <v>10</v>
      </c>
      <c r="S110" s="4">
        <f>IF(VLOOKUP($B110,'Indicator Data (national)'!$B$5:$H$14,7,FALSE)="No data","x",IF(VLOOKUP($B110,'Indicator Data (national)'!$B$5:$H$14,7,FALSE)&gt;S$149,10,IF(VLOOKUP($B110,'Indicator Data (national)'!$B$5:$H$14,7,FALSE)&lt;S$150,0,10-(S$149-VLOOKUP($B110,'Indicator Data (national)'!$B$5:$H$14,7,FALSE))/(S$149-S$150)*10)))</f>
        <v>8.7644945123377962</v>
      </c>
      <c r="T110" s="138">
        <f t="shared" si="26"/>
        <v>9.4963814816019507</v>
      </c>
      <c r="U110" s="6">
        <f>IF('Indicator Data'!G112=5,10,IF('Indicator Data'!G112=4,8,IF('Indicator Data'!G112=3,5,IF('Indicator Data'!G112=2,2,IF('Indicator Data'!G112=1,1,0)))))</f>
        <v>0</v>
      </c>
      <c r="V110" s="4">
        <f>IF('Indicator Data'!H112="No data","x",IF('Indicator Data'!H112&gt;1000,10,IF('Indicator Data'!H112&gt;=500,9,IF('Indicator Data'!H112&gt;=240,8,IF('Indicator Data'!H112&gt;=120,7,IF('Indicator Data'!H112&gt;=60,6,IF('Indicator Data'!H112&gt;=20,5,IF('Indicator Data'!H112&gt;=10,4,IF('Indicator Data'!H112&gt;=5,3,0)))))))))</f>
        <v>6</v>
      </c>
      <c r="W110" s="6">
        <f t="shared" si="27"/>
        <v>6</v>
      </c>
      <c r="X110" s="4">
        <f>IF('Indicator Data'!K112="No data","x",IF('Indicator Data'!K112&gt;X$149,0,IF('Indicator Data'!K112&lt;X$150,10,(X$149-'Indicator Data'!K112)/(X$149-X$150)*10)))</f>
        <v>3.4539999999999997</v>
      </c>
      <c r="Y110" s="6">
        <f t="shared" si="28"/>
        <v>1.7269999999999999</v>
      </c>
      <c r="Z110" s="7">
        <f t="shared" si="29"/>
        <v>3.1198199999999998</v>
      </c>
      <c r="AA110" s="139">
        <f t="shared" si="30"/>
        <v>7.7481907408009754</v>
      </c>
    </row>
    <row r="111" spans="1:27" s="11" customFormat="1" x14ac:dyDescent="0.25">
      <c r="A111" s="16" t="s">
        <v>502</v>
      </c>
      <c r="B111" s="11" t="s">
        <v>578</v>
      </c>
      <c r="C111" s="16" t="s">
        <v>503</v>
      </c>
      <c r="D111" s="4">
        <f>IF('Indicator Data'!D113="No data","x",IF('Indicator Data'!D113=0,0,IF(LOG('Indicator Data'!D113)&gt;D$149,10,IF(LOG('Indicator Data'!D113)&lt;D$150,0,10-(D$149-LOG('Indicator Data'!D113))/(D$149-D$150)*10))))</f>
        <v>4.9593024813956612</v>
      </c>
      <c r="E111" s="4">
        <f>IF('Indicator Data'!E113="No data","x",IF('Indicator Data'!E113=0,0,IF(LOG('Indicator Data'!E113)&gt;E$149,10,IF(LOG('Indicator Data'!E113)&lt;E$150,0,10-(E$149-LOG('Indicator Data'!E113))/(E$149-E$150)*10))))</f>
        <v>6.4946052349303596</v>
      </c>
      <c r="F111" s="4">
        <f>IF('Indicator Data'!F113="No data","x",IF('Indicator Data'!F113=0,0,IF(LOG('Indicator Data'!F113)&gt;F$149,10,IF(LOG('Indicator Data'!F113)&lt;F$150,0,10-(F$149-LOG('Indicator Data'!F113))/(F$149-F$150)*10))))</f>
        <v>0</v>
      </c>
      <c r="G111" s="135">
        <f t="shared" si="34"/>
        <v>4.3297368232869067</v>
      </c>
      <c r="H111" s="54">
        <f>IF('Indicator Data'!D113="No data","x",'Indicator Data'!D113/'Indicator Data'!AN113)</f>
        <v>3.4090503581718785E-2</v>
      </c>
      <c r="I111" s="54">
        <f>IF('Indicator Data'!E113="No data","x",'Indicator Data'!E113/'Indicator Data'!$AN113)</f>
        <v>9.0757979871465624E-2</v>
      </c>
      <c r="J111" s="54">
        <f>IF('Indicator Data'!F113="No data","x",'Indicator Data'!F113/'Indicator Data'!$AN113)</f>
        <v>0</v>
      </c>
      <c r="K111" s="4">
        <f t="shared" si="22"/>
        <v>1.7045251790859375</v>
      </c>
      <c r="L111" s="4">
        <f t="shared" si="23"/>
        <v>4.5378989935732807</v>
      </c>
      <c r="M111" s="4">
        <f t="shared" si="24"/>
        <v>0</v>
      </c>
      <c r="N111" s="135">
        <f t="shared" si="35"/>
        <v>3.4034242451799606</v>
      </c>
      <c r="O111" s="6">
        <f t="shared" si="36"/>
        <v>3.5040409449569685</v>
      </c>
      <c r="P111" s="6">
        <f t="shared" si="37"/>
        <v>3.8814009142065475</v>
      </c>
      <c r="Q111" s="15">
        <f t="shared" si="25"/>
        <v>3.6951207693689447</v>
      </c>
      <c r="R111" s="4">
        <f>IF(VLOOKUP($B111,'Indicator Data (national)'!$B$5:$H$14,6,FALSE)="No data","x",IF(VLOOKUP($B111,'Indicator Data (national)'!$B$5:$H$14,6,FALSE)&gt;R$149,10,IF(VLOOKUP($B111,'Indicator Data (national)'!$B$5:$H$14,6,FALSE)&lt;R$150,0,10-(R$149-VLOOKUP($B111,'Indicator Data (national)'!$B$5:$H$14,6,FALSE))/(R$149-R$150)*10)))</f>
        <v>10</v>
      </c>
      <c r="S111" s="4">
        <f>IF(VLOOKUP($B111,'Indicator Data (national)'!$B$5:$H$14,7,FALSE)="No data","x",IF(VLOOKUP($B111,'Indicator Data (national)'!$B$5:$H$14,7,FALSE)&gt;S$149,10,IF(VLOOKUP($B111,'Indicator Data (national)'!$B$5:$H$14,7,FALSE)&lt;S$150,0,10-(S$149-VLOOKUP($B111,'Indicator Data (national)'!$B$5:$H$14,7,FALSE))/(S$149-S$150)*10)))</f>
        <v>8.7644945123377962</v>
      </c>
      <c r="T111" s="138">
        <f t="shared" si="26"/>
        <v>9.4963814816019507</v>
      </c>
      <c r="U111" s="6">
        <f>IF('Indicator Data'!G113=5,10,IF('Indicator Data'!G113=4,8,IF('Indicator Data'!G113=3,5,IF('Indicator Data'!G113=2,2,IF('Indicator Data'!G113=1,1,0)))))</f>
        <v>0</v>
      </c>
      <c r="V111" s="4">
        <f>IF('Indicator Data'!H113="No data","x",IF('Indicator Data'!H113&gt;1000,10,IF('Indicator Data'!H113&gt;=500,9,IF('Indicator Data'!H113&gt;=240,8,IF('Indicator Data'!H113&gt;=120,7,IF('Indicator Data'!H113&gt;=60,6,IF('Indicator Data'!H113&gt;=20,5,IF('Indicator Data'!H113&gt;=10,4,IF('Indicator Data'!H113&gt;=5,3,0)))))))))</f>
        <v>5</v>
      </c>
      <c r="W111" s="6">
        <f t="shared" si="27"/>
        <v>5</v>
      </c>
      <c r="X111" s="4">
        <f>IF('Indicator Data'!K113="No data","x",IF('Indicator Data'!K113&gt;X$149,0,IF('Indicator Data'!K113&lt;X$150,10,(X$149-'Indicator Data'!K113)/(X$149-X$150)*10)))</f>
        <v>3.4539999999999997</v>
      </c>
      <c r="Y111" s="6">
        <f t="shared" si="28"/>
        <v>1.7269999999999999</v>
      </c>
      <c r="Z111" s="7">
        <f t="shared" si="29"/>
        <v>2.7898200000000002</v>
      </c>
      <c r="AA111" s="139">
        <f t="shared" si="30"/>
        <v>7.2481907408009754</v>
      </c>
    </row>
    <row r="112" spans="1:27" s="11" customFormat="1" x14ac:dyDescent="0.25">
      <c r="A112" s="16" t="s">
        <v>505</v>
      </c>
      <c r="B112" s="11" t="s">
        <v>580</v>
      </c>
      <c r="C112" s="16" t="s">
        <v>506</v>
      </c>
      <c r="D112" s="4">
        <f>IF('Indicator Data'!D114="No data","x",IF('Indicator Data'!D114=0,0,IF(LOG('Indicator Data'!D114)&gt;D$149,10,IF(LOG('Indicator Data'!D114)&lt;D$150,0,10-(D$149-LOG('Indicator Data'!D114))/(D$149-D$150)*10))))</f>
        <v>6.2812930797731035</v>
      </c>
      <c r="E112" s="4">
        <f>IF('Indicator Data'!E114="No data","x",IF('Indicator Data'!E114=0,0,IF(LOG('Indicator Data'!E114)&gt;E$149,10,IF(LOG('Indicator Data'!E114)&lt;E$150,0,10-(E$149-LOG('Indicator Data'!E114))/(E$149-E$150)*10))))</f>
        <v>0</v>
      </c>
      <c r="F112" s="4">
        <f>IF('Indicator Data'!F114="No data","x",IF('Indicator Data'!F114=0,0,IF(LOG('Indicator Data'!F114)&gt;F$149,10,IF(LOG('Indicator Data'!F114)&lt;F$150,0,10-(F$149-LOG('Indicator Data'!F114))/(F$149-F$150)*10))))</f>
        <v>2.786829763226196</v>
      </c>
      <c r="G112" s="135">
        <f>IF(AND(E112="x",F112="x"),"x",AVERAGE(E112,E112,E112,F112))</f>
        <v>0.69670744080654901</v>
      </c>
      <c r="H112" s="54">
        <f>IF('Indicator Data'!D114="No data","x",'Indicator Data'!D114/'Indicator Data'!AN114)</f>
        <v>0.22154878505934794</v>
      </c>
      <c r="I112" s="54">
        <f>IF('Indicator Data'!E114="No data","x",'Indicator Data'!E114/'Indicator Data'!$AN114)</f>
        <v>0</v>
      </c>
      <c r="J112" s="54">
        <f>IF('Indicator Data'!F114="No data","x",'Indicator Data'!F114/'Indicator Data'!$AN114)</f>
        <v>4.1750537871291084E-4</v>
      </c>
      <c r="K112" s="4">
        <f t="shared" si="22"/>
        <v>10</v>
      </c>
      <c r="L112" s="4">
        <f t="shared" si="23"/>
        <v>0</v>
      </c>
      <c r="M112" s="4">
        <f t="shared" si="24"/>
        <v>2.0875268935645508E-2</v>
      </c>
      <c r="N112" s="135">
        <f t="shared" si="35"/>
        <v>5.218817233911377E-3</v>
      </c>
      <c r="O112" s="6">
        <f t="shared" si="36"/>
        <v>8.7945480363677415</v>
      </c>
      <c r="P112" s="6">
        <f t="shared" si="37"/>
        <v>0.35651927936956956</v>
      </c>
      <c r="Q112" s="15">
        <f t="shared" si="25"/>
        <v>6.1197495412236815</v>
      </c>
      <c r="R112" s="4">
        <f>IF(VLOOKUP($B112,'Indicator Data (national)'!$B$5:$H$14,6,FALSE)="No data","x",IF(VLOOKUP($B112,'Indicator Data (national)'!$B$5:$H$14,6,FALSE)&gt;R$149,10,IF(VLOOKUP($B112,'Indicator Data (national)'!$B$5:$H$14,6,FALSE)&lt;R$150,0,10-(R$149-VLOOKUP($B112,'Indicator Data (national)'!$B$5:$H$14,6,FALSE))/(R$149-R$150)*10)))</f>
        <v>9.8498970558918106</v>
      </c>
      <c r="S112" s="4">
        <f>IF(VLOOKUP($B112,'Indicator Data (national)'!$B$5:$H$14,7,FALSE)="No data","x",IF(VLOOKUP($B112,'Indicator Data (national)'!$B$5:$H$14,7,FALSE)&gt;S$149,10,IF(VLOOKUP($B112,'Indicator Data (national)'!$B$5:$H$14,7,FALSE)&lt;S$150,0,10-(S$149-VLOOKUP($B112,'Indicator Data (national)'!$B$5:$H$14,7,FALSE))/(S$149-S$150)*10)))</f>
        <v>9.3828587458850503</v>
      </c>
      <c r="T112" s="138">
        <f t="shared" si="26"/>
        <v>9.6347316971429038</v>
      </c>
      <c r="U112" s="6">
        <f>IF('Indicator Data'!G114=5,10,IF('Indicator Data'!G114=4,8,IF('Indicator Data'!G114=3,5,IF('Indicator Data'!G114=2,2,IF('Indicator Data'!G114=1,1,0)))))</f>
        <v>10</v>
      </c>
      <c r="V112" s="4">
        <f>IF('Indicator Data'!H114="No data","x",IF('Indicator Data'!H114&gt;1000,10,IF('Indicator Data'!H114&gt;=500,9,IF('Indicator Data'!H114&gt;=240,8,IF('Indicator Data'!H114&gt;=120,7,IF('Indicator Data'!H114&gt;=60,6,IF('Indicator Data'!H114&gt;=20,5,IF('Indicator Data'!H114&gt;=10,4,IF('Indicator Data'!H114&gt;=5,3,0)))))))))</f>
        <v>10</v>
      </c>
      <c r="W112" s="6">
        <f t="shared" si="27"/>
        <v>10</v>
      </c>
      <c r="X112" s="4" t="str">
        <f>IF('Indicator Data'!K114="No data","x",IF('Indicator Data'!K114&gt;X$149,0,IF('Indicator Data'!K114&lt;X$150,10,(X$149-'Indicator Data'!K114)/(X$149-X$150)*10)))</f>
        <v>x</v>
      </c>
      <c r="Y112" s="6">
        <f t="shared" si="28"/>
        <v>10</v>
      </c>
      <c r="Z112" s="7">
        <f t="shared" si="29"/>
        <v>9.9</v>
      </c>
      <c r="AA112" s="139">
        <f t="shared" si="30"/>
        <v>10</v>
      </c>
    </row>
    <row r="113" spans="1:27" s="11" customFormat="1" x14ac:dyDescent="0.25">
      <c r="A113" s="16" t="s">
        <v>507</v>
      </c>
      <c r="B113" s="11" t="s">
        <v>580</v>
      </c>
      <c r="C113" s="16" t="s">
        <v>508</v>
      </c>
      <c r="D113" s="4">
        <f>IF('Indicator Data'!D115="No data","x",IF('Indicator Data'!D115=0,0,IF(LOG('Indicator Data'!D115)&gt;D$149,10,IF(LOG('Indicator Data'!D115)&lt;D$150,0,10-(D$149-LOG('Indicator Data'!D115))/(D$149-D$150)*10))))</f>
        <v>6.6904519449364406</v>
      </c>
      <c r="E113" s="4">
        <f>IF('Indicator Data'!E115="No data","x",IF('Indicator Data'!E115=0,0,IF(LOG('Indicator Data'!E115)&gt;E$149,10,IF(LOG('Indicator Data'!E115)&lt;E$150,0,10-(E$149-LOG('Indicator Data'!E115))/(E$149-E$150)*10))))</f>
        <v>5.4923552425327644</v>
      </c>
      <c r="F113" s="4">
        <f>IF('Indicator Data'!F115="No data","x",IF('Indicator Data'!F115=0,0,IF(LOG('Indicator Data'!F115)&gt;F$149,10,IF(LOG('Indicator Data'!F115)&lt;F$150,0,10-(F$149-LOG('Indicator Data'!F115))/(F$149-F$150)*10))))</f>
        <v>7.0498194086387818</v>
      </c>
      <c r="G113" s="135">
        <f t="shared" ref="G113:G148" si="38">IF(AND(E113="x",F113="x"),"x",AVERAGE(E113,E113,E113,F113))</f>
        <v>5.8817212840592692</v>
      </c>
      <c r="H113" s="54">
        <f>IF('Indicator Data'!D115="No data","x",'Indicator Data'!D115/'Indicator Data'!AN115)</f>
        <v>0.2597037766165961</v>
      </c>
      <c r="I113" s="54">
        <f>IF('Indicator Data'!E115="No data","x",'Indicator Data'!E115/'Indicator Data'!$AN115)</f>
        <v>1.0631022792378705E-2</v>
      </c>
      <c r="J113" s="54">
        <f>IF('Indicator Data'!F115="No data","x",'Indicator Data'!F115/'Indicator Data'!$AN115)</f>
        <v>9.1422595944671087E-2</v>
      </c>
      <c r="K113" s="4">
        <f t="shared" si="22"/>
        <v>10</v>
      </c>
      <c r="L113" s="4">
        <f t="shared" si="23"/>
        <v>0.53155113961893541</v>
      </c>
      <c r="M113" s="4">
        <f t="shared" si="24"/>
        <v>4.5711297972335538</v>
      </c>
      <c r="N113" s="135">
        <f t="shared" si="35"/>
        <v>1.54144580402259</v>
      </c>
      <c r="O113" s="6">
        <f t="shared" si="36"/>
        <v>8.8948431855272343</v>
      </c>
      <c r="P113" s="6">
        <f t="shared" si="37"/>
        <v>4.0369673180305901</v>
      </c>
      <c r="Q113" s="15">
        <f t="shared" si="25"/>
        <v>7.151540681181543</v>
      </c>
      <c r="R113" s="4">
        <f>IF(VLOOKUP($B113,'Indicator Data (national)'!$B$5:$H$14,6,FALSE)="No data","x",IF(VLOOKUP($B113,'Indicator Data (national)'!$B$5:$H$14,6,FALSE)&gt;R$149,10,IF(VLOOKUP($B113,'Indicator Data (national)'!$B$5:$H$14,6,FALSE)&lt;R$150,0,10-(R$149-VLOOKUP($B113,'Indicator Data (national)'!$B$5:$H$14,6,FALSE))/(R$149-R$150)*10)))</f>
        <v>9.8498970558918106</v>
      </c>
      <c r="S113" s="4">
        <f>IF(VLOOKUP($B113,'Indicator Data (national)'!$B$5:$H$14,7,FALSE)="No data","x",IF(VLOOKUP($B113,'Indicator Data (national)'!$B$5:$H$14,7,FALSE)&gt;S$149,10,IF(VLOOKUP($B113,'Indicator Data (national)'!$B$5:$H$14,7,FALSE)&lt;S$150,0,10-(S$149-VLOOKUP($B113,'Indicator Data (national)'!$B$5:$H$14,7,FALSE))/(S$149-S$150)*10)))</f>
        <v>9.3828587458850503</v>
      </c>
      <c r="T113" s="138">
        <f t="shared" si="26"/>
        <v>9.6347316971429038</v>
      </c>
      <c r="U113" s="6">
        <f>IF('Indicator Data'!G115=5,10,IF('Indicator Data'!G115=4,8,IF('Indicator Data'!G115=3,5,IF('Indicator Data'!G115=2,2,IF('Indicator Data'!G115=1,1,0)))))</f>
        <v>10</v>
      </c>
      <c r="V113" s="4">
        <f>IF('Indicator Data'!H115="No data","x",IF('Indicator Data'!H115&gt;1000,10,IF('Indicator Data'!H115&gt;=500,9,IF('Indicator Data'!H115&gt;=240,8,IF('Indicator Data'!H115&gt;=120,7,IF('Indicator Data'!H115&gt;=60,6,IF('Indicator Data'!H115&gt;=20,5,IF('Indicator Data'!H115&gt;=10,4,IF('Indicator Data'!H115&gt;=5,3,0)))))))))</f>
        <v>10</v>
      </c>
      <c r="W113" s="6">
        <f t="shared" si="27"/>
        <v>10</v>
      </c>
      <c r="X113" s="4" t="str">
        <f>IF('Indicator Data'!K115="No data","x",IF('Indicator Data'!K115&gt;X$149,0,IF('Indicator Data'!K115&lt;X$150,10,(X$149-'Indicator Data'!K115)/(X$149-X$150)*10)))</f>
        <v>x</v>
      </c>
      <c r="Y113" s="6">
        <f t="shared" si="28"/>
        <v>10</v>
      </c>
      <c r="Z113" s="7">
        <f t="shared" si="29"/>
        <v>9.9</v>
      </c>
      <c r="AA113" s="139">
        <f t="shared" si="30"/>
        <v>10</v>
      </c>
    </row>
    <row r="114" spans="1:27" s="11" customFormat="1" x14ac:dyDescent="0.25">
      <c r="A114" s="16" t="s">
        <v>509</v>
      </c>
      <c r="B114" s="11" t="s">
        <v>580</v>
      </c>
      <c r="C114" s="16" t="s">
        <v>510</v>
      </c>
      <c r="D114" s="4">
        <f>IF('Indicator Data'!D116="No data","x",IF('Indicator Data'!D116=0,0,IF(LOG('Indicator Data'!D116)&gt;D$149,10,IF(LOG('Indicator Data'!D116)&lt;D$150,0,10-(D$149-LOG('Indicator Data'!D116))/(D$149-D$150)*10))))</f>
        <v>6.3771221560370703</v>
      </c>
      <c r="E114" s="4">
        <f>IF('Indicator Data'!E116="No data","x",IF('Indicator Data'!E116=0,0,IF(LOG('Indicator Data'!E116)&gt;E$149,10,IF(LOG('Indicator Data'!E116)&lt;E$150,0,10-(E$149-LOG('Indicator Data'!E116))/(E$149-E$150)*10))))</f>
        <v>5.026437513495523</v>
      </c>
      <c r="F114" s="4">
        <f>IF('Indicator Data'!F116="No data","x",IF('Indicator Data'!F116=0,0,IF(LOG('Indicator Data'!F116)&gt;F$149,10,IF(LOG('Indicator Data'!F116)&lt;F$150,0,10-(F$149-LOG('Indicator Data'!F116))/(F$149-F$150)*10))))</f>
        <v>6.5712201674863158</v>
      </c>
      <c r="G114" s="135">
        <f t="shared" si="38"/>
        <v>5.4126331769932214</v>
      </c>
      <c r="H114" s="54">
        <f>IF('Indicator Data'!D116="No data","x",'Indicator Data'!D116/'Indicator Data'!AN116)</f>
        <v>0.35825087728151661</v>
      </c>
      <c r="I114" s="54">
        <f>IF('Indicator Data'!E116="No data","x",'Indicator Data'!E116/'Indicator Data'!$AN116)</f>
        <v>1.2766276941558465E-2</v>
      </c>
      <c r="J114" s="54">
        <f>IF('Indicator Data'!F116="No data","x",'Indicator Data'!F116/'Indicator Data'!$AN116)</f>
        <v>0.10787824034128743</v>
      </c>
      <c r="K114" s="4">
        <f t="shared" si="22"/>
        <v>10</v>
      </c>
      <c r="L114" s="4">
        <f t="shared" si="23"/>
        <v>0.6383138470779226</v>
      </c>
      <c r="M114" s="4">
        <f t="shared" si="24"/>
        <v>5.3939120170643715</v>
      </c>
      <c r="N114" s="135">
        <f t="shared" si="35"/>
        <v>1.8272133895745348</v>
      </c>
      <c r="O114" s="6">
        <f t="shared" si="36"/>
        <v>8.8176447983303792</v>
      </c>
      <c r="P114" s="6">
        <f t="shared" si="37"/>
        <v>3.8375915841706947</v>
      </c>
      <c r="Q114" s="15">
        <f t="shared" si="25"/>
        <v>7.0268030901128551</v>
      </c>
      <c r="R114" s="4">
        <f>IF(VLOOKUP($B114,'Indicator Data (national)'!$B$5:$H$14,6,FALSE)="No data","x",IF(VLOOKUP($B114,'Indicator Data (national)'!$B$5:$H$14,6,FALSE)&gt;R$149,10,IF(VLOOKUP($B114,'Indicator Data (national)'!$B$5:$H$14,6,FALSE)&lt;R$150,0,10-(R$149-VLOOKUP($B114,'Indicator Data (national)'!$B$5:$H$14,6,FALSE))/(R$149-R$150)*10)))</f>
        <v>9.8498970558918106</v>
      </c>
      <c r="S114" s="4">
        <f>IF(VLOOKUP($B114,'Indicator Data (national)'!$B$5:$H$14,7,FALSE)="No data","x",IF(VLOOKUP($B114,'Indicator Data (national)'!$B$5:$H$14,7,FALSE)&gt;S$149,10,IF(VLOOKUP($B114,'Indicator Data (national)'!$B$5:$H$14,7,FALSE)&lt;S$150,0,10-(S$149-VLOOKUP($B114,'Indicator Data (national)'!$B$5:$H$14,7,FALSE))/(S$149-S$150)*10)))</f>
        <v>9.3828587458850503</v>
      </c>
      <c r="T114" s="138">
        <f t="shared" si="26"/>
        <v>9.6347316971429038</v>
      </c>
      <c r="U114" s="6">
        <f>IF('Indicator Data'!G116=5,10,IF('Indicator Data'!G116=4,8,IF('Indicator Data'!G116=3,5,IF('Indicator Data'!G116=2,2,IF('Indicator Data'!G116=1,1,0)))))</f>
        <v>10</v>
      </c>
      <c r="V114" s="4">
        <f>IF('Indicator Data'!H116="No data","x",IF('Indicator Data'!H116&gt;1000,10,IF('Indicator Data'!H116&gt;=500,9,IF('Indicator Data'!H116&gt;=240,8,IF('Indicator Data'!H116&gt;=120,7,IF('Indicator Data'!H116&gt;=60,6,IF('Indicator Data'!H116&gt;=20,5,IF('Indicator Data'!H116&gt;=10,4,IF('Indicator Data'!H116&gt;=5,3,0)))))))))</f>
        <v>10</v>
      </c>
      <c r="W114" s="6">
        <f t="shared" si="27"/>
        <v>10</v>
      </c>
      <c r="X114" s="4" t="str">
        <f>IF('Indicator Data'!K116="No data","x",IF('Indicator Data'!K116&gt;X$149,0,IF('Indicator Data'!K116&lt;X$150,10,(X$149-'Indicator Data'!K116)/(X$149-X$150)*10)))</f>
        <v>x</v>
      </c>
      <c r="Y114" s="6">
        <f t="shared" si="28"/>
        <v>10</v>
      </c>
      <c r="Z114" s="7">
        <f t="shared" si="29"/>
        <v>9.9</v>
      </c>
      <c r="AA114" s="139">
        <f t="shared" si="30"/>
        <v>10</v>
      </c>
    </row>
    <row r="115" spans="1:27" s="11" customFormat="1" x14ac:dyDescent="0.25">
      <c r="A115" s="16" t="s">
        <v>511</v>
      </c>
      <c r="B115" s="11" t="s">
        <v>580</v>
      </c>
      <c r="C115" s="16" t="s">
        <v>512</v>
      </c>
      <c r="D115" s="4">
        <f>IF('Indicator Data'!D117="No data","x",IF('Indicator Data'!D117=0,0,IF(LOG('Indicator Data'!D117)&gt;D$149,10,IF(LOG('Indicator Data'!D117)&lt;D$150,0,10-(D$149-LOG('Indicator Data'!D117))/(D$149-D$150)*10))))</f>
        <v>6.7392891573710019</v>
      </c>
      <c r="E115" s="4">
        <f>IF('Indicator Data'!E117="No data","x",IF('Indicator Data'!E117=0,0,IF(LOG('Indicator Data'!E117)&gt;E$149,10,IF(LOG('Indicator Data'!E117)&lt;E$150,0,10-(E$149-LOG('Indicator Data'!E117))/(E$149-E$150)*10))))</f>
        <v>7.0523898458221579</v>
      </c>
      <c r="F115" s="4">
        <f>IF('Indicator Data'!F117="No data","x",IF('Indicator Data'!F117=0,0,IF(LOG('Indicator Data'!F117)&gt;F$149,10,IF(LOG('Indicator Data'!F117)&lt;F$150,0,10-(F$149-LOG('Indicator Data'!F117))/(F$149-F$150)*10))))</f>
        <v>6.6717157842560297</v>
      </c>
      <c r="G115" s="135">
        <f t="shared" si="38"/>
        <v>6.9572213304306256</v>
      </c>
      <c r="H115" s="54">
        <f>IF('Indicator Data'!D117="No data","x",'Indicator Data'!D117/'Indicator Data'!AN117)</f>
        <v>0.43465635527004109</v>
      </c>
      <c r="I115" s="54">
        <f>IF('Indicator Data'!E117="No data","x",'Indicator Data'!E117/'Indicator Data'!$AN117)</f>
        <v>0.14193108779458952</v>
      </c>
      <c r="J115" s="54">
        <f>IF('Indicator Data'!F117="No data","x",'Indicator Data'!F117/'Indicator Data'!$AN117)</f>
        <v>8.3882833923650799E-2</v>
      </c>
      <c r="K115" s="4">
        <f t="shared" si="22"/>
        <v>10</v>
      </c>
      <c r="L115" s="4">
        <f t="shared" si="23"/>
        <v>7.0965543897294747</v>
      </c>
      <c r="M115" s="4">
        <f t="shared" si="24"/>
        <v>4.1941416961825393</v>
      </c>
      <c r="N115" s="135">
        <f t="shared" si="35"/>
        <v>6.3709512163427409</v>
      </c>
      <c r="O115" s="6">
        <f t="shared" si="36"/>
        <v>8.9071192897560216</v>
      </c>
      <c r="P115" s="6">
        <f t="shared" si="37"/>
        <v>6.6737580999489587</v>
      </c>
      <c r="Q115" s="15">
        <f t="shared" si="25"/>
        <v>7.9838295847584284</v>
      </c>
      <c r="R115" s="4">
        <f>IF(VLOOKUP($B115,'Indicator Data (national)'!$B$5:$H$14,6,FALSE)="No data","x",IF(VLOOKUP($B115,'Indicator Data (national)'!$B$5:$H$14,6,FALSE)&gt;R$149,10,IF(VLOOKUP($B115,'Indicator Data (national)'!$B$5:$H$14,6,FALSE)&lt;R$150,0,10-(R$149-VLOOKUP($B115,'Indicator Data (national)'!$B$5:$H$14,6,FALSE))/(R$149-R$150)*10)))</f>
        <v>9.8498970558918106</v>
      </c>
      <c r="S115" s="4">
        <f>IF(VLOOKUP($B115,'Indicator Data (national)'!$B$5:$H$14,7,FALSE)="No data","x",IF(VLOOKUP($B115,'Indicator Data (national)'!$B$5:$H$14,7,FALSE)&gt;S$149,10,IF(VLOOKUP($B115,'Indicator Data (national)'!$B$5:$H$14,7,FALSE)&lt;S$150,0,10-(S$149-VLOOKUP($B115,'Indicator Data (national)'!$B$5:$H$14,7,FALSE))/(S$149-S$150)*10)))</f>
        <v>9.3828587458850503</v>
      </c>
      <c r="T115" s="138">
        <f t="shared" si="26"/>
        <v>9.6347316971429038</v>
      </c>
      <c r="U115" s="6">
        <f>IF('Indicator Data'!G117=5,10,IF('Indicator Data'!G117=4,8,IF('Indicator Data'!G117=3,5,IF('Indicator Data'!G117=2,2,IF('Indicator Data'!G117=1,1,0)))))</f>
        <v>0</v>
      </c>
      <c r="V115" s="4">
        <f>IF('Indicator Data'!H117="No data","x",IF('Indicator Data'!H117&gt;1000,10,IF('Indicator Data'!H117&gt;=500,9,IF('Indicator Data'!H117&gt;=240,8,IF('Indicator Data'!H117&gt;=120,7,IF('Indicator Data'!H117&gt;=60,6,IF('Indicator Data'!H117&gt;=20,5,IF('Indicator Data'!H117&gt;=10,4,IF('Indicator Data'!H117&gt;=5,3,0)))))))))</f>
        <v>9</v>
      </c>
      <c r="W115" s="6">
        <f t="shared" si="27"/>
        <v>9</v>
      </c>
      <c r="X115" s="4" t="str">
        <f>IF('Indicator Data'!K117="No data","x",IF('Indicator Data'!K117&gt;X$149,0,IF('Indicator Data'!K117&lt;X$150,10,(X$149-'Indicator Data'!K117)/(X$149-X$150)*10)))</f>
        <v>x</v>
      </c>
      <c r="Y115" s="6">
        <f t="shared" si="28"/>
        <v>0</v>
      </c>
      <c r="Z115" s="7">
        <f t="shared" si="29"/>
        <v>2.97</v>
      </c>
      <c r="AA115" s="139">
        <f t="shared" si="30"/>
        <v>9</v>
      </c>
    </row>
    <row r="116" spans="1:27" s="11" customFormat="1" x14ac:dyDescent="0.25">
      <c r="A116" s="16" t="s">
        <v>513</v>
      </c>
      <c r="B116" s="11" t="s">
        <v>580</v>
      </c>
      <c r="C116" s="16" t="s">
        <v>514</v>
      </c>
      <c r="D116" s="4">
        <f>IF('Indicator Data'!D118="No data","x",IF('Indicator Data'!D118=0,0,IF(LOG('Indicator Data'!D118)&gt;D$149,10,IF(LOG('Indicator Data'!D118)&lt;D$150,0,10-(D$149-LOG('Indicator Data'!D118))/(D$149-D$150)*10))))</f>
        <v>6.9317970141559906</v>
      </c>
      <c r="E116" s="4">
        <f>IF('Indicator Data'!E118="No data","x",IF('Indicator Data'!E118=0,0,IF(LOG('Indicator Data'!E118)&gt;E$149,10,IF(LOG('Indicator Data'!E118)&lt;E$150,0,10-(E$149-LOG('Indicator Data'!E118))/(E$149-E$150)*10))))</f>
        <v>6.7946130624120755</v>
      </c>
      <c r="F116" s="4">
        <f>IF('Indicator Data'!F118="No data","x",IF('Indicator Data'!F118=0,0,IF(LOG('Indicator Data'!F118)&gt;F$149,10,IF(LOG('Indicator Data'!F118)&lt;F$150,0,10-(F$149-LOG('Indicator Data'!F118))/(F$149-F$150)*10))))</f>
        <v>0</v>
      </c>
      <c r="G116" s="135">
        <f t="shared" si="38"/>
        <v>5.0959597968090566</v>
      </c>
      <c r="H116" s="54">
        <f>IF('Indicator Data'!D118="No data","x",'Indicator Data'!D118/'Indicator Data'!AN118)</f>
        <v>0.63404590096162328</v>
      </c>
      <c r="I116" s="54">
        <f>IF('Indicator Data'!E118="No data","x",'Indicator Data'!E118/'Indicator Data'!$AN118)</f>
        <v>0.1063238335205854</v>
      </c>
      <c r="J116" s="54">
        <f>IF('Indicator Data'!F118="No data","x",'Indicator Data'!F118/'Indicator Data'!$AN118)</f>
        <v>0</v>
      </c>
      <c r="K116" s="4">
        <f t="shared" si="22"/>
        <v>10</v>
      </c>
      <c r="L116" s="4">
        <f t="shared" si="23"/>
        <v>5.3161916760292698</v>
      </c>
      <c r="M116" s="4">
        <f t="shared" si="24"/>
        <v>0</v>
      </c>
      <c r="N116" s="135">
        <f t="shared" si="35"/>
        <v>3.9871437570219523</v>
      </c>
      <c r="O116" s="6">
        <f t="shared" si="36"/>
        <v>8.9561906183898294</v>
      </c>
      <c r="P116" s="6">
        <f t="shared" si="37"/>
        <v>4.5649869453933283</v>
      </c>
      <c r="Q116" s="15">
        <f t="shared" si="25"/>
        <v>7.3552653857646542</v>
      </c>
      <c r="R116" s="4">
        <f>IF(VLOOKUP($B116,'Indicator Data (national)'!$B$5:$H$14,6,FALSE)="No data","x",IF(VLOOKUP($B116,'Indicator Data (national)'!$B$5:$H$14,6,FALSE)&gt;R$149,10,IF(VLOOKUP($B116,'Indicator Data (national)'!$B$5:$H$14,6,FALSE)&lt;R$150,0,10-(R$149-VLOOKUP($B116,'Indicator Data (national)'!$B$5:$H$14,6,FALSE))/(R$149-R$150)*10)))</f>
        <v>9.8498970558918106</v>
      </c>
      <c r="S116" s="4">
        <f>IF(VLOOKUP($B116,'Indicator Data (national)'!$B$5:$H$14,7,FALSE)="No data","x",IF(VLOOKUP($B116,'Indicator Data (national)'!$B$5:$H$14,7,FALSE)&gt;S$149,10,IF(VLOOKUP($B116,'Indicator Data (national)'!$B$5:$H$14,7,FALSE)&lt;S$150,0,10-(S$149-VLOOKUP($B116,'Indicator Data (national)'!$B$5:$H$14,7,FALSE))/(S$149-S$150)*10)))</f>
        <v>9.3828587458850503</v>
      </c>
      <c r="T116" s="138">
        <f t="shared" si="26"/>
        <v>9.6347316971429038</v>
      </c>
      <c r="U116" s="6">
        <f>IF('Indicator Data'!G118=5,10,IF('Indicator Data'!G118=4,8,IF('Indicator Data'!G118=3,5,IF('Indicator Data'!G118=2,2,IF('Indicator Data'!G118=1,1,0)))))</f>
        <v>8</v>
      </c>
      <c r="V116" s="4">
        <f>IF('Indicator Data'!H118="No data","x",IF('Indicator Data'!H118&gt;1000,10,IF('Indicator Data'!H118&gt;=500,9,IF('Indicator Data'!H118&gt;=240,8,IF('Indicator Data'!H118&gt;=120,7,IF('Indicator Data'!H118&gt;=60,6,IF('Indicator Data'!H118&gt;=20,5,IF('Indicator Data'!H118&gt;=10,4,IF('Indicator Data'!H118&gt;=5,3,0)))))))))</f>
        <v>7</v>
      </c>
      <c r="W116" s="6">
        <f t="shared" si="27"/>
        <v>8</v>
      </c>
      <c r="X116" s="4" t="str">
        <f>IF('Indicator Data'!K118="No data","x",IF('Indicator Data'!K118&gt;X$149,0,IF('Indicator Data'!K118&lt;X$150,10,(X$149-'Indicator Data'!K118)/(X$149-X$150)*10)))</f>
        <v>x</v>
      </c>
      <c r="Y116" s="6">
        <f t="shared" si="28"/>
        <v>8</v>
      </c>
      <c r="Z116" s="7">
        <f t="shared" si="29"/>
        <v>7.92</v>
      </c>
      <c r="AA116" s="139">
        <f t="shared" si="30"/>
        <v>8</v>
      </c>
    </row>
    <row r="117" spans="1:27" s="11" customFormat="1" x14ac:dyDescent="0.25">
      <c r="A117" s="16" t="s">
        <v>515</v>
      </c>
      <c r="B117" s="11" t="s">
        <v>580</v>
      </c>
      <c r="C117" s="16" t="s">
        <v>516</v>
      </c>
      <c r="D117" s="4">
        <f>IF('Indicator Data'!D119="No data","x",IF('Indicator Data'!D119=0,0,IF(LOG('Indicator Data'!D119)&gt;D$149,10,IF(LOG('Indicator Data'!D119)&lt;D$150,0,10-(D$149-LOG('Indicator Data'!D119))/(D$149-D$150)*10))))</f>
        <v>4.5283161840887667</v>
      </c>
      <c r="E117" s="4">
        <f>IF('Indicator Data'!E119="No data","x",IF('Indicator Data'!E119=0,0,IF(LOG('Indicator Data'!E119)&gt;E$149,10,IF(LOG('Indicator Data'!E119)&lt;E$150,0,10-(E$149-LOG('Indicator Data'!E119))/(E$149-E$150)*10))))</f>
        <v>6.8819837177618188</v>
      </c>
      <c r="F117" s="4">
        <f>IF('Indicator Data'!F119="No data","x",IF('Indicator Data'!F119=0,0,IF(LOG('Indicator Data'!F119)&gt;F$149,10,IF(LOG('Indicator Data'!F119)&lt;F$150,0,10-(F$149-LOG('Indicator Data'!F119))/(F$149-F$150)*10))))</f>
        <v>4.0428286889376519</v>
      </c>
      <c r="G117" s="135">
        <f t="shared" si="38"/>
        <v>6.1721949605557764</v>
      </c>
      <c r="H117" s="54">
        <f>IF('Indicator Data'!D119="No data","x",'Indicator Data'!D119/'Indicator Data'!AN119)</f>
        <v>3.2500862806131306E-2</v>
      </c>
      <c r="I117" s="54">
        <f>IF('Indicator Data'!E119="No data","x",'Indicator Data'!E119/'Indicator Data'!$AN119)</f>
        <v>0.2959809721022354</v>
      </c>
      <c r="J117" s="54">
        <f>IF('Indicator Data'!F119="No data","x",'Indicator Data'!F119/'Indicator Data'!$AN119)</f>
        <v>5.8582887641758499E-3</v>
      </c>
      <c r="K117" s="4">
        <f t="shared" si="22"/>
        <v>1.6250431403065644</v>
      </c>
      <c r="L117" s="4">
        <f t="shared" si="23"/>
        <v>10</v>
      </c>
      <c r="M117" s="4">
        <f t="shared" si="24"/>
        <v>0.29291443820879159</v>
      </c>
      <c r="N117" s="135">
        <f t="shared" si="35"/>
        <v>7.5732286095521975</v>
      </c>
      <c r="O117" s="6">
        <f t="shared" si="36"/>
        <v>3.2089063481603741</v>
      </c>
      <c r="P117" s="6">
        <f t="shared" si="37"/>
        <v>6.931002855848285</v>
      </c>
      <c r="Q117" s="15">
        <f t="shared" si="25"/>
        <v>5.3637576885010487</v>
      </c>
      <c r="R117" s="4">
        <f>IF(VLOOKUP($B117,'Indicator Data (national)'!$B$5:$H$14,6,FALSE)="No data","x",IF(VLOOKUP($B117,'Indicator Data (national)'!$B$5:$H$14,6,FALSE)&gt;R$149,10,IF(VLOOKUP($B117,'Indicator Data (national)'!$B$5:$H$14,6,FALSE)&lt;R$150,0,10-(R$149-VLOOKUP($B117,'Indicator Data (national)'!$B$5:$H$14,6,FALSE))/(R$149-R$150)*10)))</f>
        <v>9.8498970558918106</v>
      </c>
      <c r="S117" s="4">
        <f>IF(VLOOKUP($B117,'Indicator Data (national)'!$B$5:$H$14,7,FALSE)="No data","x",IF(VLOOKUP($B117,'Indicator Data (national)'!$B$5:$H$14,7,FALSE)&gt;S$149,10,IF(VLOOKUP($B117,'Indicator Data (national)'!$B$5:$H$14,7,FALSE)&lt;S$150,0,10-(S$149-VLOOKUP($B117,'Indicator Data (national)'!$B$5:$H$14,7,FALSE))/(S$149-S$150)*10)))</f>
        <v>9.3828587458850503</v>
      </c>
      <c r="T117" s="138">
        <f t="shared" si="26"/>
        <v>9.6347316971429038</v>
      </c>
      <c r="U117" s="6">
        <f>IF('Indicator Data'!G119=5,10,IF('Indicator Data'!G119=4,8,IF('Indicator Data'!G119=3,5,IF('Indicator Data'!G119=2,2,IF('Indicator Data'!G119=1,1,0)))))</f>
        <v>10</v>
      </c>
      <c r="V117" s="4">
        <f>IF('Indicator Data'!H119="No data","x",IF('Indicator Data'!H119&gt;1000,10,IF('Indicator Data'!H119&gt;=500,9,IF('Indicator Data'!H119&gt;=240,8,IF('Indicator Data'!H119&gt;=120,7,IF('Indicator Data'!H119&gt;=60,6,IF('Indicator Data'!H119&gt;=20,5,IF('Indicator Data'!H119&gt;=10,4,IF('Indicator Data'!H119&gt;=5,3,0)))))))))</f>
        <v>8</v>
      </c>
      <c r="W117" s="6">
        <f t="shared" si="27"/>
        <v>10</v>
      </c>
      <c r="X117" s="4" t="str">
        <f>IF('Indicator Data'!K119="No data","x",IF('Indicator Data'!K119&gt;X$149,0,IF('Indicator Data'!K119&lt;X$150,10,(X$149-'Indicator Data'!K119)/(X$149-X$150)*10)))</f>
        <v>x</v>
      </c>
      <c r="Y117" s="6">
        <f t="shared" si="28"/>
        <v>10</v>
      </c>
      <c r="Z117" s="7">
        <f t="shared" si="29"/>
        <v>9.9</v>
      </c>
      <c r="AA117" s="139">
        <f t="shared" si="30"/>
        <v>10</v>
      </c>
    </row>
    <row r="118" spans="1:27" s="11" customFormat="1" x14ac:dyDescent="0.25">
      <c r="A118" s="16" t="s">
        <v>517</v>
      </c>
      <c r="B118" s="11" t="s">
        <v>580</v>
      </c>
      <c r="C118" s="16" t="s">
        <v>518</v>
      </c>
      <c r="D118" s="4">
        <f>IF('Indicator Data'!D120="No data","x",IF('Indicator Data'!D120=0,0,IF(LOG('Indicator Data'!D120)&gt;D$149,10,IF(LOG('Indicator Data'!D120)&lt;D$150,0,10-(D$149-LOG('Indicator Data'!D120))/(D$149-D$150)*10))))</f>
        <v>6.3321031601247464</v>
      </c>
      <c r="E118" s="4">
        <f>IF('Indicator Data'!E120="No data","x",IF('Indicator Data'!E120=0,0,IF(LOG('Indicator Data'!E120)&gt;E$149,10,IF(LOG('Indicator Data'!E120)&lt;E$150,0,10-(E$149-LOG('Indicator Data'!E120))/(E$149-E$150)*10))))</f>
        <v>0.13196874341270792</v>
      </c>
      <c r="F118" s="4">
        <f>IF('Indicator Data'!F120="No data","x",IF('Indicator Data'!F120=0,0,IF(LOG('Indicator Data'!F120)&gt;F$149,10,IF(LOG('Indicator Data'!F120)&lt;F$150,0,10-(F$149-LOG('Indicator Data'!F120))/(F$149-F$150)*10))))</f>
        <v>7.049239373474725</v>
      </c>
      <c r="G118" s="135">
        <f t="shared" si="38"/>
        <v>1.8612864009282122</v>
      </c>
      <c r="H118" s="54">
        <f>IF('Indicator Data'!D120="No data","x",'Indicator Data'!D120/'Indicator Data'!AN120)</f>
        <v>0.34485965591748541</v>
      </c>
      <c r="I118" s="54">
        <f>IF('Indicator Data'!E120="No data","x",'Indicator Data'!E120/'Indicator Data'!$AN120)</f>
        <v>1.5288026417709651E-5</v>
      </c>
      <c r="J118" s="54">
        <f>IF('Indicator Data'!F120="No data","x",'Indicator Data'!F120/'Indicator Data'!$AN120)</f>
        <v>0.21612937747156427</v>
      </c>
      <c r="K118" s="4">
        <f t="shared" si="22"/>
        <v>10</v>
      </c>
      <c r="L118" s="4">
        <f t="shared" si="23"/>
        <v>7.6440132088606561E-4</v>
      </c>
      <c r="M118" s="4">
        <f t="shared" si="24"/>
        <v>10</v>
      </c>
      <c r="N118" s="135">
        <f t="shared" si="35"/>
        <v>2.5005733009906645</v>
      </c>
      <c r="O118" s="6">
        <f t="shared" si="36"/>
        <v>8.8067654698434445</v>
      </c>
      <c r="P118" s="6">
        <f t="shared" si="37"/>
        <v>2.1866522813547502</v>
      </c>
      <c r="Q118" s="15">
        <f t="shared" si="25"/>
        <v>6.5762420055004744</v>
      </c>
      <c r="R118" s="4">
        <f>IF(VLOOKUP($B118,'Indicator Data (national)'!$B$5:$H$14,6,FALSE)="No data","x",IF(VLOOKUP($B118,'Indicator Data (national)'!$B$5:$H$14,6,FALSE)&gt;R$149,10,IF(VLOOKUP($B118,'Indicator Data (national)'!$B$5:$H$14,6,FALSE)&lt;R$150,0,10-(R$149-VLOOKUP($B118,'Indicator Data (national)'!$B$5:$H$14,6,FALSE))/(R$149-R$150)*10)))</f>
        <v>9.8498970558918106</v>
      </c>
      <c r="S118" s="4">
        <f>IF(VLOOKUP($B118,'Indicator Data (national)'!$B$5:$H$14,7,FALSE)="No data","x",IF(VLOOKUP($B118,'Indicator Data (national)'!$B$5:$H$14,7,FALSE)&gt;S$149,10,IF(VLOOKUP($B118,'Indicator Data (national)'!$B$5:$H$14,7,FALSE)&lt;S$150,0,10-(S$149-VLOOKUP($B118,'Indicator Data (national)'!$B$5:$H$14,7,FALSE))/(S$149-S$150)*10)))</f>
        <v>9.3828587458850503</v>
      </c>
      <c r="T118" s="138">
        <f t="shared" si="26"/>
        <v>9.6347316971429038</v>
      </c>
      <c r="U118" s="6">
        <f>IF('Indicator Data'!G120=5,10,IF('Indicator Data'!G120=4,8,IF('Indicator Data'!G120=3,5,IF('Indicator Data'!G120=2,2,IF('Indicator Data'!G120=1,1,0)))))</f>
        <v>10</v>
      </c>
      <c r="V118" s="4">
        <f>IF('Indicator Data'!H120="No data","x",IF('Indicator Data'!H120&gt;1000,10,IF('Indicator Data'!H120&gt;=500,9,IF('Indicator Data'!H120&gt;=240,8,IF('Indicator Data'!H120&gt;=120,7,IF('Indicator Data'!H120&gt;=60,6,IF('Indicator Data'!H120&gt;=20,5,IF('Indicator Data'!H120&gt;=10,4,IF('Indicator Data'!H120&gt;=5,3,0)))))))))</f>
        <v>9</v>
      </c>
      <c r="W118" s="6">
        <f t="shared" si="27"/>
        <v>10</v>
      </c>
      <c r="X118" s="4" t="str">
        <f>IF('Indicator Data'!K120="No data","x",IF('Indicator Data'!K120&gt;X$149,0,IF('Indicator Data'!K120&lt;X$150,10,(X$149-'Indicator Data'!K120)/(X$149-X$150)*10)))</f>
        <v>x</v>
      </c>
      <c r="Y118" s="6">
        <f t="shared" si="28"/>
        <v>10</v>
      </c>
      <c r="Z118" s="7">
        <f t="shared" si="29"/>
        <v>9.9</v>
      </c>
      <c r="AA118" s="139">
        <f t="shared" si="30"/>
        <v>10</v>
      </c>
    </row>
    <row r="119" spans="1:27" s="11" customFormat="1" x14ac:dyDescent="0.25">
      <c r="A119" s="16" t="s">
        <v>519</v>
      </c>
      <c r="B119" s="11" t="s">
        <v>580</v>
      </c>
      <c r="C119" s="16" t="s">
        <v>520</v>
      </c>
      <c r="D119" s="4">
        <f>IF('Indicator Data'!D121="No data","x",IF('Indicator Data'!D121=0,0,IF(LOG('Indicator Data'!D121)&gt;D$149,10,IF(LOG('Indicator Data'!D121)&lt;D$150,0,10-(D$149-LOG('Indicator Data'!D121))/(D$149-D$150)*10))))</f>
        <v>4.2840990912604919</v>
      </c>
      <c r="E119" s="4">
        <f>IF('Indicator Data'!E121="No data","x",IF('Indicator Data'!E121=0,0,IF(LOG('Indicator Data'!E121)&gt;E$149,10,IF(LOG('Indicator Data'!E121)&lt;E$150,0,10-(E$149-LOG('Indicator Data'!E121))/(E$149-E$150)*10))))</f>
        <v>0</v>
      </c>
      <c r="F119" s="4">
        <f>IF('Indicator Data'!F121="No data","x",IF('Indicator Data'!F121=0,0,IF(LOG('Indicator Data'!F121)&gt;F$149,10,IF(LOG('Indicator Data'!F121)&lt;F$150,0,10-(F$149-LOG('Indicator Data'!F121))/(F$149-F$150)*10))))</f>
        <v>6.8330426864807441</v>
      </c>
      <c r="G119" s="135">
        <f t="shared" si="38"/>
        <v>1.708260671620186</v>
      </c>
      <c r="H119" s="54">
        <f>IF('Indicator Data'!D121="No data","x",'Indicator Data'!D121/'Indicator Data'!AN121)</f>
        <v>1.1593535795942611E-2</v>
      </c>
      <c r="I119" s="54">
        <f>IF('Indicator Data'!E121="No data","x",'Indicator Data'!E121/'Indicator Data'!$AN121)</f>
        <v>0</v>
      </c>
      <c r="J119" s="54">
        <f>IF('Indicator Data'!F121="No data","x",'Indicator Data'!F121/'Indicator Data'!$AN121)</f>
        <v>0.1462756899571897</v>
      </c>
      <c r="K119" s="4">
        <f t="shared" si="22"/>
        <v>0.57967678979713</v>
      </c>
      <c r="L119" s="4">
        <f t="shared" si="23"/>
        <v>0</v>
      </c>
      <c r="M119" s="4">
        <f t="shared" si="24"/>
        <v>7.3137844978594844</v>
      </c>
      <c r="N119" s="135">
        <f t="shared" si="35"/>
        <v>1.8284461244648711</v>
      </c>
      <c r="O119" s="6">
        <f t="shared" si="36"/>
        <v>2.6318287890110907</v>
      </c>
      <c r="P119" s="6">
        <f t="shared" si="37"/>
        <v>1.768546658599498</v>
      </c>
      <c r="Q119" s="15">
        <f t="shared" si="25"/>
        <v>2.210648111622727</v>
      </c>
      <c r="R119" s="4">
        <f>IF(VLOOKUP($B119,'Indicator Data (national)'!$B$5:$H$14,6,FALSE)="No data","x",IF(VLOOKUP($B119,'Indicator Data (national)'!$B$5:$H$14,6,FALSE)&gt;R$149,10,IF(VLOOKUP($B119,'Indicator Data (national)'!$B$5:$H$14,6,FALSE)&lt;R$150,0,10-(R$149-VLOOKUP($B119,'Indicator Data (national)'!$B$5:$H$14,6,FALSE))/(R$149-R$150)*10)))</f>
        <v>9.8498970558918106</v>
      </c>
      <c r="S119" s="4">
        <f>IF(VLOOKUP($B119,'Indicator Data (national)'!$B$5:$H$14,7,FALSE)="No data","x",IF(VLOOKUP($B119,'Indicator Data (national)'!$B$5:$H$14,7,FALSE)&gt;S$149,10,IF(VLOOKUP($B119,'Indicator Data (national)'!$B$5:$H$14,7,FALSE)&lt;S$150,0,10-(S$149-VLOOKUP($B119,'Indicator Data (national)'!$B$5:$H$14,7,FALSE))/(S$149-S$150)*10)))</f>
        <v>9.3828587458850503</v>
      </c>
      <c r="T119" s="138">
        <f t="shared" si="26"/>
        <v>9.6347316971429038</v>
      </c>
      <c r="U119" s="6">
        <f>IF('Indicator Data'!G121=5,10,IF('Indicator Data'!G121=4,8,IF('Indicator Data'!G121=3,5,IF('Indicator Data'!G121=2,2,IF('Indicator Data'!G121=1,1,0)))))</f>
        <v>0</v>
      </c>
      <c r="V119" s="4">
        <f>IF('Indicator Data'!H121="No data","x",IF('Indicator Data'!H121&gt;1000,10,IF('Indicator Data'!H121&gt;=500,9,IF('Indicator Data'!H121&gt;=240,8,IF('Indicator Data'!H121&gt;=120,7,IF('Indicator Data'!H121&gt;=60,6,IF('Indicator Data'!H121&gt;=20,5,IF('Indicator Data'!H121&gt;=10,4,IF('Indicator Data'!H121&gt;=5,3,0)))))))))</f>
        <v>5</v>
      </c>
      <c r="W119" s="6">
        <f t="shared" si="27"/>
        <v>5</v>
      </c>
      <c r="X119" s="4" t="str">
        <f>IF('Indicator Data'!K121="No data","x",IF('Indicator Data'!K121&gt;X$149,0,IF('Indicator Data'!K121&lt;X$150,10,(X$149-'Indicator Data'!K121)/(X$149-X$150)*10)))</f>
        <v>x</v>
      </c>
      <c r="Y119" s="6">
        <f t="shared" si="28"/>
        <v>0</v>
      </c>
      <c r="Z119" s="7">
        <f t="shared" si="29"/>
        <v>1.6500000000000001</v>
      </c>
      <c r="AA119" s="139">
        <f t="shared" si="30"/>
        <v>7.3173658485714519</v>
      </c>
    </row>
    <row r="120" spans="1:27" s="11" customFormat="1" x14ac:dyDescent="0.25">
      <c r="A120" s="16" t="s">
        <v>521</v>
      </c>
      <c r="B120" s="11" t="s">
        <v>580</v>
      </c>
      <c r="C120" s="16" t="s">
        <v>522</v>
      </c>
      <c r="D120" s="4">
        <f>IF('Indicator Data'!D122="No data","x",IF('Indicator Data'!D122=0,0,IF(LOG('Indicator Data'!D122)&gt;D$149,10,IF(LOG('Indicator Data'!D122)&lt;D$150,0,10-(D$149-LOG('Indicator Data'!D122))/(D$149-D$150)*10))))</f>
        <v>6.4506616976760975</v>
      </c>
      <c r="E120" s="4">
        <f>IF('Indicator Data'!E122="No data","x",IF('Indicator Data'!E122=0,0,IF(LOG('Indicator Data'!E122)&gt;E$149,10,IF(LOG('Indicator Data'!E122)&lt;E$150,0,10-(E$149-LOG('Indicator Data'!E122))/(E$149-E$150)*10))))</f>
        <v>0</v>
      </c>
      <c r="F120" s="4">
        <f>IF('Indicator Data'!F122="No data","x",IF('Indicator Data'!F122=0,0,IF(LOG('Indicator Data'!F122)&gt;F$149,10,IF(LOG('Indicator Data'!F122)&lt;F$150,0,10-(F$149-LOG('Indicator Data'!F122))/(F$149-F$150)*10))))</f>
        <v>7.2010364656146502</v>
      </c>
      <c r="G120" s="135">
        <f t="shared" si="38"/>
        <v>1.8002591164036625</v>
      </c>
      <c r="H120" s="54">
        <f>IF('Indicator Data'!D122="No data","x",'Indicator Data'!D122/'Indicator Data'!AN122)</f>
        <v>0.18984635706340378</v>
      </c>
      <c r="I120" s="54">
        <f>IF('Indicator Data'!E122="No data","x",'Indicator Data'!E122/'Indicator Data'!$AN122)</f>
        <v>0</v>
      </c>
      <c r="J120" s="54">
        <f>IF('Indicator Data'!F122="No data","x",'Indicator Data'!F122/'Indicator Data'!$AN122)</f>
        <v>0.12121628197997775</v>
      </c>
      <c r="K120" s="4">
        <f t="shared" si="22"/>
        <v>9.4923178531701886</v>
      </c>
      <c r="L120" s="4">
        <f t="shared" si="23"/>
        <v>0</v>
      </c>
      <c r="M120" s="4">
        <f t="shared" si="24"/>
        <v>6.060814098998887</v>
      </c>
      <c r="N120" s="135">
        <f t="shared" si="35"/>
        <v>1.5152035247497218</v>
      </c>
      <c r="O120" s="6">
        <f t="shared" si="36"/>
        <v>8.3644214509122516</v>
      </c>
      <c r="P120" s="6">
        <f t="shared" si="37"/>
        <v>1.6588058213153309</v>
      </c>
      <c r="Q120" s="15">
        <f t="shared" si="25"/>
        <v>6.0157652735329536</v>
      </c>
      <c r="R120" s="4">
        <f>IF(VLOOKUP($B120,'Indicator Data (national)'!$B$5:$H$14,6,FALSE)="No data","x",IF(VLOOKUP($B120,'Indicator Data (national)'!$B$5:$H$14,6,FALSE)&gt;R$149,10,IF(VLOOKUP($B120,'Indicator Data (national)'!$B$5:$H$14,6,FALSE)&lt;R$150,0,10-(R$149-VLOOKUP($B120,'Indicator Data (national)'!$B$5:$H$14,6,FALSE))/(R$149-R$150)*10)))</f>
        <v>9.8498970558918106</v>
      </c>
      <c r="S120" s="4">
        <f>IF(VLOOKUP($B120,'Indicator Data (national)'!$B$5:$H$14,7,FALSE)="No data","x",IF(VLOOKUP($B120,'Indicator Data (national)'!$B$5:$H$14,7,FALSE)&gt;S$149,10,IF(VLOOKUP($B120,'Indicator Data (national)'!$B$5:$H$14,7,FALSE)&lt;S$150,0,10-(S$149-VLOOKUP($B120,'Indicator Data (national)'!$B$5:$H$14,7,FALSE))/(S$149-S$150)*10)))</f>
        <v>9.3828587458850503</v>
      </c>
      <c r="T120" s="138">
        <f t="shared" si="26"/>
        <v>9.6347316971429038</v>
      </c>
      <c r="U120" s="6">
        <f>IF('Indicator Data'!G122=5,10,IF('Indicator Data'!G122=4,8,IF('Indicator Data'!G122=3,5,IF('Indicator Data'!G122=2,2,IF('Indicator Data'!G122=1,1,0)))))</f>
        <v>0</v>
      </c>
      <c r="V120" s="4">
        <f>IF('Indicator Data'!H122="No data","x",IF('Indicator Data'!H122&gt;1000,10,IF('Indicator Data'!H122&gt;=500,9,IF('Indicator Data'!H122&gt;=240,8,IF('Indicator Data'!H122&gt;=120,7,IF('Indicator Data'!H122&gt;=60,6,IF('Indicator Data'!H122&gt;=20,5,IF('Indicator Data'!H122&gt;=10,4,IF('Indicator Data'!H122&gt;=5,3,0)))))))))</f>
        <v>10</v>
      </c>
      <c r="W120" s="6">
        <f t="shared" si="27"/>
        <v>10</v>
      </c>
      <c r="X120" s="4" t="str">
        <f>IF('Indicator Data'!K122="No data","x",IF('Indicator Data'!K122&gt;X$149,0,IF('Indicator Data'!K122&lt;X$150,10,(X$149-'Indicator Data'!K122)/(X$149-X$150)*10)))</f>
        <v>x</v>
      </c>
      <c r="Y120" s="6">
        <f t="shared" si="28"/>
        <v>0</v>
      </c>
      <c r="Z120" s="7">
        <f t="shared" si="29"/>
        <v>3.3000000000000003</v>
      </c>
      <c r="AA120" s="139">
        <f t="shared" si="30"/>
        <v>10</v>
      </c>
    </row>
    <row r="121" spans="1:27" s="11" customFormat="1" x14ac:dyDescent="0.25">
      <c r="A121" s="16" t="s">
        <v>523</v>
      </c>
      <c r="B121" s="11" t="s">
        <v>580</v>
      </c>
      <c r="C121" s="16" t="s">
        <v>524</v>
      </c>
      <c r="D121" s="4">
        <f>IF('Indicator Data'!D123="No data","x",IF('Indicator Data'!D123=0,0,IF(LOG('Indicator Data'!D123)&gt;D$149,10,IF(LOG('Indicator Data'!D123)&lt;D$150,0,10-(D$149-LOG('Indicator Data'!D123))/(D$149-D$150)*10))))</f>
        <v>2.033208391338297</v>
      </c>
      <c r="E121" s="4">
        <f>IF('Indicator Data'!E123="No data","x",IF('Indicator Data'!E123=0,0,IF(LOG('Indicator Data'!E123)&gt;E$149,10,IF(LOG('Indicator Data'!E123)&lt;E$150,0,10-(E$149-LOG('Indicator Data'!E123))/(E$149-E$150)*10))))</f>
        <v>7.1368799249542985</v>
      </c>
      <c r="F121" s="4">
        <f>IF('Indicator Data'!F123="No data","x",IF('Indicator Data'!F123=0,0,IF(LOG('Indicator Data'!F123)&gt;F$149,10,IF(LOG('Indicator Data'!F123)&lt;F$150,0,10-(F$149-LOG('Indicator Data'!F123))/(F$149-F$150)*10))))</f>
        <v>7.4954035283606331</v>
      </c>
      <c r="G121" s="135">
        <f t="shared" si="38"/>
        <v>7.2265108258058817</v>
      </c>
      <c r="H121" s="54">
        <f>IF('Indicator Data'!D123="No data","x",'Indicator Data'!D123/'Indicator Data'!AN123)</f>
        <v>2.5801376138303163E-4</v>
      </c>
      <c r="I121" s="54">
        <f>IF('Indicator Data'!E123="No data","x",'Indicator Data'!E123/'Indicator Data'!$AN123)</f>
        <v>0.18643392851753082</v>
      </c>
      <c r="J121" s="54">
        <f>IF('Indicator Data'!F123="No data","x",'Indicator Data'!F123/'Indicator Data'!$AN123)</f>
        <v>0.30594200824280943</v>
      </c>
      <c r="K121" s="4">
        <f t="shared" si="22"/>
        <v>1.2900688069152011E-2</v>
      </c>
      <c r="L121" s="4">
        <f t="shared" si="23"/>
        <v>9.3216964258765405</v>
      </c>
      <c r="M121" s="4">
        <f t="shared" si="24"/>
        <v>10</v>
      </c>
      <c r="N121" s="135">
        <f t="shared" si="35"/>
        <v>9.4912723194074058</v>
      </c>
      <c r="O121" s="6">
        <f t="shared" si="36"/>
        <v>1.0737571478425245</v>
      </c>
      <c r="P121" s="6">
        <f t="shared" si="37"/>
        <v>8.6026402158442963</v>
      </c>
      <c r="Q121" s="15">
        <f t="shared" si="25"/>
        <v>6.0933018000321955</v>
      </c>
      <c r="R121" s="4">
        <f>IF(VLOOKUP($B121,'Indicator Data (national)'!$B$5:$H$14,6,FALSE)="No data","x",IF(VLOOKUP($B121,'Indicator Data (national)'!$B$5:$H$14,6,FALSE)&gt;R$149,10,IF(VLOOKUP($B121,'Indicator Data (national)'!$B$5:$H$14,6,FALSE)&lt;R$150,0,10-(R$149-VLOOKUP($B121,'Indicator Data (national)'!$B$5:$H$14,6,FALSE))/(R$149-R$150)*10)))</f>
        <v>9.8498970558918106</v>
      </c>
      <c r="S121" s="4">
        <f>IF(VLOOKUP($B121,'Indicator Data (national)'!$B$5:$H$14,7,FALSE)="No data","x",IF(VLOOKUP($B121,'Indicator Data (national)'!$B$5:$H$14,7,FALSE)&gt;S$149,10,IF(VLOOKUP($B121,'Indicator Data (national)'!$B$5:$H$14,7,FALSE)&lt;S$150,0,10-(S$149-VLOOKUP($B121,'Indicator Data (national)'!$B$5:$H$14,7,FALSE))/(S$149-S$150)*10)))</f>
        <v>9.3828587458850503</v>
      </c>
      <c r="T121" s="138">
        <f t="shared" si="26"/>
        <v>9.6347316971429038</v>
      </c>
      <c r="U121" s="6">
        <f>IF('Indicator Data'!G123=5,10,IF('Indicator Data'!G123=4,8,IF('Indicator Data'!G123=3,5,IF('Indicator Data'!G123=2,2,IF('Indicator Data'!G123=1,1,0)))))</f>
        <v>0</v>
      </c>
      <c r="V121" s="4">
        <f>IF('Indicator Data'!H123="No data","x",IF('Indicator Data'!H123&gt;1000,10,IF('Indicator Data'!H123&gt;=500,9,IF('Indicator Data'!H123&gt;=240,8,IF('Indicator Data'!H123&gt;=120,7,IF('Indicator Data'!H123&gt;=60,6,IF('Indicator Data'!H123&gt;=20,5,IF('Indicator Data'!H123&gt;=10,4,IF('Indicator Data'!H123&gt;=5,3,0)))))))))</f>
        <v>6</v>
      </c>
      <c r="W121" s="6">
        <f t="shared" si="27"/>
        <v>6</v>
      </c>
      <c r="X121" s="4" t="str">
        <f>IF('Indicator Data'!K123="No data","x",IF('Indicator Data'!K123&gt;X$149,0,IF('Indicator Data'!K123&lt;X$150,10,(X$149-'Indicator Data'!K123)/(X$149-X$150)*10)))</f>
        <v>x</v>
      </c>
      <c r="Y121" s="6">
        <f t="shared" si="28"/>
        <v>0</v>
      </c>
      <c r="Z121" s="7">
        <f>IF(W121="x",Y121,(Y121*0.66)+(W121*0.33))</f>
        <v>1.98</v>
      </c>
      <c r="AA121" s="139">
        <f t="shared" si="30"/>
        <v>7.8173658485714519</v>
      </c>
    </row>
    <row r="122" spans="1:27" s="11" customFormat="1" x14ac:dyDescent="0.25">
      <c r="A122" s="16" t="s">
        <v>526</v>
      </c>
      <c r="B122" s="11" t="s">
        <v>579</v>
      </c>
      <c r="C122" s="16" t="s">
        <v>527</v>
      </c>
      <c r="D122" s="4">
        <f>IF('Indicator Data'!D124="No data","x",IF('Indicator Data'!D124=0,0,IF(LOG('Indicator Data'!D124)&gt;D$149,10,IF(LOG('Indicator Data'!D124)&lt;D$150,0,10-(D$149-LOG('Indicator Data'!D124))/(D$149-D$150)*10))))</f>
        <v>7.9857213901902719</v>
      </c>
      <c r="E122" s="4">
        <f>IF('Indicator Data'!E124="No data","x",IF('Indicator Data'!E124=0,0,IF(LOG('Indicator Data'!E124)&gt;E$149,10,IF(LOG('Indicator Data'!E124)&lt;E$150,0,10-(E$149-LOG('Indicator Data'!E124))/(E$149-E$150)*10))))</f>
        <v>0</v>
      </c>
      <c r="F122" s="4">
        <f>IF('Indicator Data'!F124="No data","x",IF('Indicator Data'!F124=0,0,IF(LOG('Indicator Data'!F124)&gt;F$149,10,IF(LOG('Indicator Data'!F124)&lt;F$150,0,10-(F$149-LOG('Indicator Data'!F124))/(F$149-F$150)*10))))</f>
        <v>5.2880119806151455</v>
      </c>
      <c r="G122" s="135">
        <f t="shared" si="38"/>
        <v>1.3220029951537864</v>
      </c>
      <c r="H122" s="54">
        <f>IF('Indicator Data'!D124="No data","x",'Indicator Data'!D124/'Indicator Data'!AN124)</f>
        <v>0.88468840539668436</v>
      </c>
      <c r="I122" s="54">
        <f>IF('Indicator Data'!E124="No data","x",'Indicator Data'!E124/'Indicator Data'!$AN124)</f>
        <v>0</v>
      </c>
      <c r="J122" s="54">
        <f>IF('Indicator Data'!F124="No data","x",'Indicator Data'!F124/'Indicator Data'!$AN124)</f>
        <v>3.3852640617392849E-3</v>
      </c>
      <c r="K122" s="4">
        <f t="shared" si="22"/>
        <v>10</v>
      </c>
      <c r="L122" s="4">
        <f t="shared" si="23"/>
        <v>0</v>
      </c>
      <c r="M122" s="4">
        <f t="shared" si="24"/>
        <v>0.16926320308696319</v>
      </c>
      <c r="N122" s="135">
        <f t="shared" si="35"/>
        <v>4.2315800771740797E-2</v>
      </c>
      <c r="O122" s="6">
        <f t="shared" si="36"/>
        <v>9.247604941154167</v>
      </c>
      <c r="P122" s="6">
        <f t="shared" si="37"/>
        <v>0.70180594667705487</v>
      </c>
      <c r="Q122" s="15">
        <f t="shared" si="25"/>
        <v>6.7068172518315619</v>
      </c>
      <c r="R122" s="4">
        <f>IF(VLOOKUP($B122,'Indicator Data (national)'!$B$5:$H$14,6,FALSE)="No data","x",IF(VLOOKUP($B122,'Indicator Data (national)'!$B$5:$H$14,6,FALSE)&gt;R$149,10,IF(VLOOKUP($B122,'Indicator Data (national)'!$B$5:$H$14,6,FALSE)&lt;R$150,0,10-(R$149-VLOOKUP($B122,'Indicator Data (national)'!$B$5:$H$14,6,FALSE))/(R$149-R$150)*10)))</f>
        <v>10</v>
      </c>
      <c r="S122" s="4">
        <f>IF(VLOOKUP($B122,'Indicator Data (national)'!$B$5:$H$14,7,FALSE)="No data","x",IF(VLOOKUP($B122,'Indicator Data (national)'!$B$5:$H$14,7,FALSE)&gt;S$149,10,IF(VLOOKUP($B122,'Indicator Data (national)'!$B$5:$H$14,7,FALSE)&lt;S$150,0,10-(S$149-VLOOKUP($B122,'Indicator Data (national)'!$B$5:$H$14,7,FALSE))/(S$149-S$150)*10)))</f>
        <v>10</v>
      </c>
      <c r="T122" s="138">
        <f t="shared" si="26"/>
        <v>10</v>
      </c>
      <c r="U122" s="6">
        <f>IF('Indicator Data'!G124=5,10,IF('Indicator Data'!G124=4,8,IF('Indicator Data'!G124=3,5,IF('Indicator Data'!G124=2,2,IF('Indicator Data'!G124=1,1,0)))))</f>
        <v>0</v>
      </c>
      <c r="V122" s="4" t="str">
        <f>IF('Indicator Data'!H124="No data","x",IF('Indicator Data'!H124&gt;1000,10,IF('Indicator Data'!H124&gt;=500,9,IF('Indicator Data'!H124&gt;=240,8,IF('Indicator Data'!H124&gt;=120,7,IF('Indicator Data'!H124&gt;=60,6,IF('Indicator Data'!H124&gt;=20,5,IF('Indicator Data'!H124&gt;=10,4,IF('Indicator Data'!H124&gt;=5,3,0)))))))))</f>
        <v>x</v>
      </c>
      <c r="W122" s="6">
        <f t="shared" si="27"/>
        <v>0</v>
      </c>
      <c r="X122" s="4">
        <f>IF('Indicator Data'!K124="No data","x",IF('Indicator Data'!K124&gt;X$149,0,IF('Indicator Data'!K124&lt;X$150,10,(X$149-'Indicator Data'!K124)/(X$149-X$150)*10)))</f>
        <v>3.7441467521984673</v>
      </c>
      <c r="Y122" s="6">
        <f t="shared" si="28"/>
        <v>1.8720733760992336</v>
      </c>
      <c r="Z122" s="7">
        <f t="shared" si="29"/>
        <v>1.2355684282254942</v>
      </c>
      <c r="AA122" s="139">
        <f t="shared" si="30"/>
        <v>5</v>
      </c>
    </row>
    <row r="123" spans="1:27" s="11" customFormat="1" x14ac:dyDescent="0.25">
      <c r="A123" s="16" t="s">
        <v>528</v>
      </c>
      <c r="B123" s="11" t="s">
        <v>579</v>
      </c>
      <c r="C123" s="16" t="s">
        <v>529</v>
      </c>
      <c r="D123" s="4">
        <f>IF('Indicator Data'!D125="No data","x",IF('Indicator Data'!D125=0,0,IF(LOG('Indicator Data'!D125)&gt;D$149,10,IF(LOG('Indicator Data'!D125)&lt;D$150,0,10-(D$149-LOG('Indicator Data'!D125))/(D$149-D$150)*10))))</f>
        <v>6.1367474257479602</v>
      </c>
      <c r="E123" s="4">
        <f>IF('Indicator Data'!E125="No data","x",IF('Indicator Data'!E125=0,0,IF(LOG('Indicator Data'!E125)&gt;E$149,10,IF(LOG('Indicator Data'!E125)&lt;E$150,0,10-(E$149-LOG('Indicator Data'!E125))/(E$149-E$150)*10))))</f>
        <v>0</v>
      </c>
      <c r="F123" s="4">
        <f>IF('Indicator Data'!F125="No data","x",IF('Indicator Data'!F125=0,0,IF(LOG('Indicator Data'!F125)&gt;F$149,10,IF(LOG('Indicator Data'!F125)&lt;F$150,0,10-(F$149-LOG('Indicator Data'!F125))/(F$149-F$150)*10))))</f>
        <v>5.8713921894342169</v>
      </c>
      <c r="G123" s="135">
        <f t="shared" si="38"/>
        <v>1.4678480473585542</v>
      </c>
      <c r="H123" s="54">
        <f>IF('Indicator Data'!D125="No data","x",'Indicator Data'!D125/'Indicator Data'!AN125)</f>
        <v>0.20642886248942105</v>
      </c>
      <c r="I123" s="54">
        <f>IF('Indicator Data'!E125="No data","x",'Indicator Data'!E125/'Indicator Data'!$AN125)</f>
        <v>0</v>
      </c>
      <c r="J123" s="54">
        <f>IF('Indicator Data'!F125="No data","x",'Indicator Data'!F125/'Indicator Data'!$AN125)</f>
        <v>3.4824311193304702E-2</v>
      </c>
      <c r="K123" s="4">
        <f t="shared" si="22"/>
        <v>10</v>
      </c>
      <c r="L123" s="4">
        <f t="shared" si="23"/>
        <v>0</v>
      </c>
      <c r="M123" s="4">
        <f t="shared" si="24"/>
        <v>1.7412155596652354</v>
      </c>
      <c r="N123" s="135">
        <f t="shared" si="35"/>
        <v>0.43530388991630886</v>
      </c>
      <c r="O123" s="6">
        <f t="shared" si="36"/>
        <v>8.7601388098037116</v>
      </c>
      <c r="P123" s="6">
        <f t="shared" si="37"/>
        <v>0.96470201962013991</v>
      </c>
      <c r="Q123" s="15">
        <f t="shared" si="25"/>
        <v>6.2270629201296952</v>
      </c>
      <c r="R123" s="4">
        <f>IF(VLOOKUP($B123,'Indicator Data (national)'!$B$5:$H$14,6,FALSE)="No data","x",IF(VLOOKUP($B123,'Indicator Data (national)'!$B$5:$H$14,6,FALSE)&gt;R$149,10,IF(VLOOKUP($B123,'Indicator Data (national)'!$B$5:$H$14,6,FALSE)&lt;R$150,0,10-(R$149-VLOOKUP($B123,'Indicator Data (national)'!$B$5:$H$14,6,FALSE))/(R$149-R$150)*10)))</f>
        <v>10</v>
      </c>
      <c r="S123" s="4">
        <f>IF(VLOOKUP($B123,'Indicator Data (national)'!$B$5:$H$14,7,FALSE)="No data","x",IF(VLOOKUP($B123,'Indicator Data (national)'!$B$5:$H$14,7,FALSE)&gt;S$149,10,IF(VLOOKUP($B123,'Indicator Data (national)'!$B$5:$H$14,7,FALSE)&lt;S$150,0,10-(S$149-VLOOKUP($B123,'Indicator Data (national)'!$B$5:$H$14,7,FALSE))/(S$149-S$150)*10)))</f>
        <v>10</v>
      </c>
      <c r="T123" s="138">
        <f t="shared" si="26"/>
        <v>10</v>
      </c>
      <c r="U123" s="6">
        <f>IF('Indicator Data'!G125=5,10,IF('Indicator Data'!G125=4,8,IF('Indicator Data'!G125=3,5,IF('Indicator Data'!G125=2,2,IF('Indicator Data'!G125=1,1,0)))))</f>
        <v>10</v>
      </c>
      <c r="V123" s="4">
        <f>IF('Indicator Data'!H125="No data","x",IF('Indicator Data'!H125&gt;1000,10,IF('Indicator Data'!H125&gt;=500,9,IF('Indicator Data'!H125&gt;=240,8,IF('Indicator Data'!H125&gt;=120,7,IF('Indicator Data'!H125&gt;=60,6,IF('Indicator Data'!H125&gt;=20,5,IF('Indicator Data'!H125&gt;=10,4,IF('Indicator Data'!H125&gt;=5,3,0)))))))))</f>
        <v>9</v>
      </c>
      <c r="W123" s="6">
        <f t="shared" si="27"/>
        <v>10</v>
      </c>
      <c r="X123" s="4">
        <f>IF('Indicator Data'!K125="No data","x",IF('Indicator Data'!K125&gt;X$149,0,IF('Indicator Data'!K125&lt;X$150,10,(X$149-'Indicator Data'!K125)/(X$149-X$150)*10)))</f>
        <v>3.7441467521984673</v>
      </c>
      <c r="Y123" s="6">
        <f t="shared" si="28"/>
        <v>6.8720733760992339</v>
      </c>
      <c r="Z123" s="7">
        <f t="shared" si="29"/>
        <v>7.8355684282254945</v>
      </c>
      <c r="AA123" s="139">
        <f t="shared" si="30"/>
        <v>10</v>
      </c>
    </row>
    <row r="124" spans="1:27" s="11" customFormat="1" x14ac:dyDescent="0.25">
      <c r="A124" s="16" t="s">
        <v>530</v>
      </c>
      <c r="B124" s="11" t="s">
        <v>579</v>
      </c>
      <c r="C124" s="16" t="s">
        <v>531</v>
      </c>
      <c r="D124" s="4">
        <f>IF('Indicator Data'!D126="No data","x",IF('Indicator Data'!D126=0,0,IF(LOG('Indicator Data'!D126)&gt;D$149,10,IF(LOG('Indicator Data'!D126)&lt;D$150,0,10-(D$149-LOG('Indicator Data'!D126))/(D$149-D$150)*10))))</f>
        <v>6.2589034881970971</v>
      </c>
      <c r="E124" s="4">
        <f>IF('Indicator Data'!E126="No data","x",IF('Indicator Data'!E126=0,0,IF(LOG('Indicator Data'!E126)&gt;E$149,10,IF(LOG('Indicator Data'!E126)&lt;E$150,0,10-(E$149-LOG('Indicator Data'!E126))/(E$149-E$150)*10))))</f>
        <v>6.4006578190168701</v>
      </c>
      <c r="F124" s="4">
        <f>IF('Indicator Data'!F126="No data","x",IF('Indicator Data'!F126=0,0,IF(LOG('Indicator Data'!F126)&gt;F$149,10,IF(LOG('Indicator Data'!F126)&lt;F$150,0,10-(F$149-LOG('Indicator Data'!F126))/(F$149-F$150)*10))))</f>
        <v>0</v>
      </c>
      <c r="G124" s="135">
        <f t="shared" si="38"/>
        <v>4.8004933642626524</v>
      </c>
      <c r="H124" s="54">
        <f>IF('Indicator Data'!D126="No data","x",'Indicator Data'!D126/'Indicator Data'!AN126)</f>
        <v>0.30080288292614005</v>
      </c>
      <c r="I124" s="54">
        <f>IF('Indicator Data'!E126="No data","x",'Indicator Data'!E126/'Indicator Data'!$AN126)</f>
        <v>8.6585315532614851E-2</v>
      </c>
      <c r="J124" s="54">
        <f>IF('Indicator Data'!F126="No data","x",'Indicator Data'!F126/'Indicator Data'!$AN126)</f>
        <v>0</v>
      </c>
      <c r="K124" s="4">
        <f t="shared" si="22"/>
        <v>10</v>
      </c>
      <c r="L124" s="4">
        <f t="shared" si="23"/>
        <v>4.3292657766307414</v>
      </c>
      <c r="M124" s="4">
        <f t="shared" si="24"/>
        <v>0</v>
      </c>
      <c r="N124" s="135">
        <f t="shared" si="35"/>
        <v>3.2469493324730561</v>
      </c>
      <c r="O124" s="6">
        <f t="shared" si="36"/>
        <v>8.7891847980602869</v>
      </c>
      <c r="P124" s="6">
        <f t="shared" si="37"/>
        <v>4.0664167327607874</v>
      </c>
      <c r="Q124" s="15">
        <f t="shared" si="25"/>
        <v>7.0666999989103711</v>
      </c>
      <c r="R124" s="4">
        <f>IF(VLOOKUP($B124,'Indicator Data (national)'!$B$5:$H$14,6,FALSE)="No data","x",IF(VLOOKUP($B124,'Indicator Data (national)'!$B$5:$H$14,6,FALSE)&gt;R$149,10,IF(VLOOKUP($B124,'Indicator Data (national)'!$B$5:$H$14,6,FALSE)&lt;R$150,0,10-(R$149-VLOOKUP($B124,'Indicator Data (national)'!$B$5:$H$14,6,FALSE))/(R$149-R$150)*10)))</f>
        <v>10</v>
      </c>
      <c r="S124" s="4">
        <f>IF(VLOOKUP($B124,'Indicator Data (national)'!$B$5:$H$14,7,FALSE)="No data","x",IF(VLOOKUP($B124,'Indicator Data (national)'!$B$5:$H$14,7,FALSE)&gt;S$149,10,IF(VLOOKUP($B124,'Indicator Data (national)'!$B$5:$H$14,7,FALSE)&lt;S$150,0,10-(S$149-VLOOKUP($B124,'Indicator Data (national)'!$B$5:$H$14,7,FALSE))/(S$149-S$150)*10)))</f>
        <v>10</v>
      </c>
      <c r="T124" s="138">
        <f t="shared" si="26"/>
        <v>10</v>
      </c>
      <c r="U124" s="6">
        <f>IF('Indicator Data'!G126=5,10,IF('Indicator Data'!G126=4,8,IF('Indicator Data'!G126=3,5,IF('Indicator Data'!G126=2,2,IF('Indicator Data'!G126=1,1,0)))))</f>
        <v>10</v>
      </c>
      <c r="V124" s="4" t="str">
        <f>IF('Indicator Data'!H126="No data","x",IF('Indicator Data'!H126&gt;1000,10,IF('Indicator Data'!H126&gt;=500,9,IF('Indicator Data'!H126&gt;=240,8,IF('Indicator Data'!H126&gt;=120,7,IF('Indicator Data'!H126&gt;=60,6,IF('Indicator Data'!H126&gt;=20,5,IF('Indicator Data'!H126&gt;=10,4,IF('Indicator Data'!H126&gt;=5,3,0)))))))))</f>
        <v>x</v>
      </c>
      <c r="W124" s="6">
        <f t="shared" si="27"/>
        <v>10</v>
      </c>
      <c r="X124" s="4">
        <f>IF('Indicator Data'!K126="No data","x",IF('Indicator Data'!K126&gt;X$149,0,IF('Indicator Data'!K126&lt;X$150,10,(X$149-'Indicator Data'!K126)/(X$149-X$150)*10)))</f>
        <v>3.7441467521984673</v>
      </c>
      <c r="Y124" s="6">
        <f t="shared" si="28"/>
        <v>6.8720733760992339</v>
      </c>
      <c r="Z124" s="7">
        <f t="shared" si="29"/>
        <v>7.8355684282254945</v>
      </c>
      <c r="AA124" s="139">
        <f t="shared" si="30"/>
        <v>10</v>
      </c>
    </row>
    <row r="125" spans="1:27" s="11" customFormat="1" x14ac:dyDescent="0.25">
      <c r="A125" s="16" t="s">
        <v>532</v>
      </c>
      <c r="B125" s="11" t="s">
        <v>579</v>
      </c>
      <c r="C125" s="16" t="s">
        <v>533</v>
      </c>
      <c r="D125" s="4">
        <f>IF('Indicator Data'!D127="No data","x",IF('Indicator Data'!D127=0,0,IF(LOG('Indicator Data'!D127)&gt;D$149,10,IF(LOG('Indicator Data'!D127)&lt;D$150,0,10-(D$149-LOG('Indicator Data'!D127))/(D$149-D$150)*10))))</f>
        <v>6.1495367896858673</v>
      </c>
      <c r="E125" s="4">
        <f>IF('Indicator Data'!E127="No data","x",IF('Indicator Data'!E127=0,0,IF(LOG('Indicator Data'!E127)&gt;E$149,10,IF(LOG('Indicator Data'!E127)&lt;E$150,0,10-(E$149-LOG('Indicator Data'!E127))/(E$149-E$150)*10))))</f>
        <v>7.9304105365676891</v>
      </c>
      <c r="F125" s="4">
        <f>IF('Indicator Data'!F127="No data","x",IF('Indicator Data'!F127=0,0,IF(LOG('Indicator Data'!F127)&gt;F$149,10,IF(LOG('Indicator Data'!F127)&lt;F$150,0,10-(F$149-LOG('Indicator Data'!F127))/(F$149-F$150)*10))))</f>
        <v>0</v>
      </c>
      <c r="G125" s="135">
        <f t="shared" si="38"/>
        <v>5.9478079024257671</v>
      </c>
      <c r="H125" s="54">
        <f>IF('Indicator Data'!D127="No data","x",'Indicator Data'!D127/'Indicator Data'!AN127)</f>
        <v>0.12098987021930861</v>
      </c>
      <c r="I125" s="54">
        <f>IF('Indicator Data'!E127="No data","x",'Indicator Data'!E127/'Indicator Data'!$AN127)</f>
        <v>0.34381085157105784</v>
      </c>
      <c r="J125" s="54">
        <f>IF('Indicator Data'!F127="No data","x",'Indicator Data'!F127/'Indicator Data'!$AN127)</f>
        <v>0</v>
      </c>
      <c r="K125" s="4">
        <f t="shared" si="22"/>
        <v>6.04949351096543</v>
      </c>
      <c r="L125" s="4">
        <f t="shared" si="23"/>
        <v>10</v>
      </c>
      <c r="M125" s="4">
        <f t="shared" si="24"/>
        <v>0</v>
      </c>
      <c r="N125" s="135">
        <f t="shared" si="35"/>
        <v>7.5</v>
      </c>
      <c r="O125" s="6">
        <f t="shared" si="36"/>
        <v>6.0997647940265622</v>
      </c>
      <c r="P125" s="6">
        <f t="shared" si="37"/>
        <v>6.7930951793527194</v>
      </c>
      <c r="Q125" s="15">
        <f t="shared" si="25"/>
        <v>6.459329383995164</v>
      </c>
      <c r="R125" s="4">
        <f>IF(VLOOKUP($B125,'Indicator Data (national)'!$B$5:$H$14,6,FALSE)="No data","x",IF(VLOOKUP($B125,'Indicator Data (national)'!$B$5:$H$14,6,FALSE)&gt;R$149,10,IF(VLOOKUP($B125,'Indicator Data (national)'!$B$5:$H$14,6,FALSE)&lt;R$150,0,10-(R$149-VLOOKUP($B125,'Indicator Data (national)'!$B$5:$H$14,6,FALSE))/(R$149-R$150)*10)))</f>
        <v>10</v>
      </c>
      <c r="S125" s="4">
        <f>IF(VLOOKUP($B125,'Indicator Data (national)'!$B$5:$H$14,7,FALSE)="No data","x",IF(VLOOKUP($B125,'Indicator Data (national)'!$B$5:$H$14,7,FALSE)&gt;S$149,10,IF(VLOOKUP($B125,'Indicator Data (national)'!$B$5:$H$14,7,FALSE)&lt;S$150,0,10-(S$149-VLOOKUP($B125,'Indicator Data (national)'!$B$5:$H$14,7,FALSE))/(S$149-S$150)*10)))</f>
        <v>10</v>
      </c>
      <c r="T125" s="138">
        <f t="shared" si="26"/>
        <v>10</v>
      </c>
      <c r="U125" s="6">
        <f>IF('Indicator Data'!G127=5,10,IF('Indicator Data'!G127=4,8,IF('Indicator Data'!G127=3,5,IF('Indicator Data'!G127=2,2,IF('Indicator Data'!G127=1,1,0)))))</f>
        <v>8</v>
      </c>
      <c r="V125" s="4">
        <f>IF('Indicator Data'!H127="No data","x",IF('Indicator Data'!H127&gt;1000,10,IF('Indicator Data'!H127&gt;=500,9,IF('Indicator Data'!H127&gt;=240,8,IF('Indicator Data'!H127&gt;=120,7,IF('Indicator Data'!H127&gt;=60,6,IF('Indicator Data'!H127&gt;=20,5,IF('Indicator Data'!H127&gt;=10,4,IF('Indicator Data'!H127&gt;=5,3,0)))))))))</f>
        <v>0</v>
      </c>
      <c r="W125" s="6">
        <f t="shared" si="27"/>
        <v>8</v>
      </c>
      <c r="X125" s="4">
        <f>IF('Indicator Data'!K127="No data","x",IF('Indicator Data'!K127&gt;X$149,0,IF('Indicator Data'!K127&lt;X$150,10,(X$149-'Indicator Data'!K127)/(X$149-X$150)*10)))</f>
        <v>3.7441467521984673</v>
      </c>
      <c r="Y125" s="6">
        <f t="shared" si="28"/>
        <v>5.8720733760992339</v>
      </c>
      <c r="Z125" s="7">
        <f t="shared" si="29"/>
        <v>6.5155684282254942</v>
      </c>
      <c r="AA125" s="139">
        <f t="shared" si="30"/>
        <v>8</v>
      </c>
    </row>
    <row r="126" spans="1:27" s="11" customFormat="1" x14ac:dyDescent="0.25">
      <c r="A126" s="16" t="s">
        <v>534</v>
      </c>
      <c r="B126" s="11" t="s">
        <v>579</v>
      </c>
      <c r="C126" s="16" t="s">
        <v>535</v>
      </c>
      <c r="D126" s="4">
        <f>IF('Indicator Data'!D128="No data","x",IF('Indicator Data'!D128=0,0,IF(LOG('Indicator Data'!D128)&gt;D$149,10,IF(LOG('Indicator Data'!D128)&lt;D$150,0,10-(D$149-LOG('Indicator Data'!D128))/(D$149-D$150)*10))))</f>
        <v>6.0990072670142483</v>
      </c>
      <c r="E126" s="4">
        <f>IF('Indicator Data'!E128="No data","x",IF('Indicator Data'!E128=0,0,IF(LOG('Indicator Data'!E128)&gt;E$149,10,IF(LOG('Indicator Data'!E128)&lt;E$150,0,10-(E$149-LOG('Indicator Data'!E128))/(E$149-E$150)*10))))</f>
        <v>4.1062395354117651</v>
      </c>
      <c r="F126" s="4">
        <f>IF('Indicator Data'!F128="No data","x",IF('Indicator Data'!F128=0,0,IF(LOG('Indicator Data'!F128)&gt;F$149,10,IF(LOG('Indicator Data'!F128)&lt;F$150,0,10-(F$149-LOG('Indicator Data'!F128))/(F$149-F$150)*10))))</f>
        <v>0</v>
      </c>
      <c r="G126" s="135">
        <f t="shared" si="38"/>
        <v>3.0796796515588238</v>
      </c>
      <c r="H126" s="54">
        <f>IF('Indicator Data'!D128="No data","x",'Indicator Data'!D128/'Indicator Data'!AN128)</f>
        <v>0.13820920021826691</v>
      </c>
      <c r="I126" s="54">
        <f>IF('Indicator Data'!E128="No data","x",'Indicator Data'!E128/'Indicator Data'!$AN128)</f>
        <v>2.1625969600235512E-3</v>
      </c>
      <c r="J126" s="54">
        <f>IF('Indicator Data'!F128="No data","x",'Indicator Data'!F128/'Indicator Data'!$AN128)</f>
        <v>0</v>
      </c>
      <c r="K126" s="4">
        <f t="shared" si="22"/>
        <v>6.9104600109133454</v>
      </c>
      <c r="L126" s="4">
        <f t="shared" si="23"/>
        <v>0.10812984800117675</v>
      </c>
      <c r="M126" s="4">
        <f t="shared" si="24"/>
        <v>0</v>
      </c>
      <c r="N126" s="135">
        <f t="shared" si="35"/>
        <v>8.1097386000882565E-2</v>
      </c>
      <c r="O126" s="6">
        <f t="shared" si="36"/>
        <v>6.5226364705566997</v>
      </c>
      <c r="P126" s="6">
        <f t="shared" si="37"/>
        <v>1.699055053524978</v>
      </c>
      <c r="Q126" s="15">
        <f t="shared" si="25"/>
        <v>4.5394309198882841</v>
      </c>
      <c r="R126" s="4">
        <f>IF(VLOOKUP($B126,'Indicator Data (national)'!$B$5:$H$14,6,FALSE)="No data","x",IF(VLOOKUP($B126,'Indicator Data (national)'!$B$5:$H$14,6,FALSE)&gt;R$149,10,IF(VLOOKUP($B126,'Indicator Data (national)'!$B$5:$H$14,6,FALSE)&lt;R$150,0,10-(R$149-VLOOKUP($B126,'Indicator Data (national)'!$B$5:$H$14,6,FALSE))/(R$149-R$150)*10)))</f>
        <v>10</v>
      </c>
      <c r="S126" s="4">
        <f>IF(VLOOKUP($B126,'Indicator Data (national)'!$B$5:$H$14,7,FALSE)="No data","x",IF(VLOOKUP($B126,'Indicator Data (national)'!$B$5:$H$14,7,FALSE)&gt;S$149,10,IF(VLOOKUP($B126,'Indicator Data (national)'!$B$5:$H$14,7,FALSE)&lt;S$150,0,10-(S$149-VLOOKUP($B126,'Indicator Data (national)'!$B$5:$H$14,7,FALSE))/(S$149-S$150)*10)))</f>
        <v>10</v>
      </c>
      <c r="T126" s="138">
        <f t="shared" si="26"/>
        <v>10</v>
      </c>
      <c r="U126" s="6">
        <f>IF('Indicator Data'!G128=5,10,IF('Indicator Data'!G128=4,8,IF('Indicator Data'!G128=3,5,IF('Indicator Data'!G128=2,2,IF('Indicator Data'!G128=1,1,0)))))</f>
        <v>0</v>
      </c>
      <c r="V126" s="4" t="str">
        <f>IF('Indicator Data'!H128="No data","x",IF('Indicator Data'!H128&gt;1000,10,IF('Indicator Data'!H128&gt;=500,9,IF('Indicator Data'!H128&gt;=240,8,IF('Indicator Data'!H128&gt;=120,7,IF('Indicator Data'!H128&gt;=60,6,IF('Indicator Data'!H128&gt;=20,5,IF('Indicator Data'!H128&gt;=10,4,IF('Indicator Data'!H128&gt;=5,3,0)))))))))</f>
        <v>x</v>
      </c>
      <c r="W126" s="6">
        <f t="shared" si="27"/>
        <v>0</v>
      </c>
      <c r="X126" s="4">
        <f>IF('Indicator Data'!K128="No data","x",IF('Indicator Data'!K128&gt;X$149,0,IF('Indicator Data'!K128&lt;X$150,10,(X$149-'Indicator Data'!K128)/(X$149-X$150)*10)))</f>
        <v>3.7441467521984673</v>
      </c>
      <c r="Y126" s="6">
        <f t="shared" si="28"/>
        <v>1.8720733760992336</v>
      </c>
      <c r="Z126" s="7">
        <f t="shared" si="29"/>
        <v>1.2355684282254942</v>
      </c>
      <c r="AA126" s="139">
        <f t="shared" si="30"/>
        <v>5</v>
      </c>
    </row>
    <row r="127" spans="1:27" s="11" customFormat="1" x14ac:dyDescent="0.25">
      <c r="A127" s="16" t="s">
        <v>536</v>
      </c>
      <c r="B127" s="11" t="s">
        <v>579</v>
      </c>
      <c r="C127" s="16" t="s">
        <v>537</v>
      </c>
      <c r="D127" s="4">
        <f>IF('Indicator Data'!D129="No data","x",IF('Indicator Data'!D129=0,0,IF(LOG('Indicator Data'!D129)&gt;D$149,10,IF(LOG('Indicator Data'!D129)&lt;D$150,0,10-(D$149-LOG('Indicator Data'!D129))/(D$149-D$150)*10))))</f>
        <v>7.4329033468367074</v>
      </c>
      <c r="E127" s="4">
        <f>IF('Indicator Data'!E129="No data","x",IF('Indicator Data'!E129=0,0,IF(LOG('Indicator Data'!E129)&gt;E$149,10,IF(LOG('Indicator Data'!E129)&lt;E$150,0,10-(E$149-LOG('Indicator Data'!E129))/(E$149-E$150)*10))))</f>
        <v>6.6105022266244395</v>
      </c>
      <c r="F127" s="4">
        <f>IF('Indicator Data'!F129="No data","x",IF('Indicator Data'!F129=0,0,IF(LOG('Indicator Data'!F129)&gt;F$149,10,IF(LOG('Indicator Data'!F129)&lt;F$150,0,10-(F$149-LOG('Indicator Data'!F129))/(F$149-F$150)*10))))</f>
        <v>0</v>
      </c>
      <c r="G127" s="135">
        <f t="shared" si="38"/>
        <v>4.9578766699683294</v>
      </c>
      <c r="H127" s="54">
        <f>IF('Indicator Data'!D129="No data","x",'Indicator Data'!D129/'Indicator Data'!AN129)</f>
        <v>0.72543550047612448</v>
      </c>
      <c r="I127" s="54">
        <f>IF('Indicator Data'!E129="No data","x",'Indicator Data'!E129/'Indicator Data'!$AN129)</f>
        <v>4.205985759446923E-2</v>
      </c>
      <c r="J127" s="54">
        <f>IF('Indicator Data'!F129="No data","x",'Indicator Data'!F129/'Indicator Data'!$AN129)</f>
        <v>0</v>
      </c>
      <c r="K127" s="4">
        <f t="shared" si="22"/>
        <v>10</v>
      </c>
      <c r="L127" s="4">
        <f t="shared" si="23"/>
        <v>2.1029928797234607</v>
      </c>
      <c r="M127" s="4">
        <f t="shared" si="24"/>
        <v>0</v>
      </c>
      <c r="N127" s="135">
        <f t="shared" si="35"/>
        <v>1.5772446597925955</v>
      </c>
      <c r="O127" s="6">
        <f t="shared" si="36"/>
        <v>9.0895034548482911</v>
      </c>
      <c r="P127" s="6">
        <f t="shared" si="37"/>
        <v>3.4518607949568736</v>
      </c>
      <c r="Q127" s="15">
        <f t="shared" si="25"/>
        <v>7.1761398176490063</v>
      </c>
      <c r="R127" s="4">
        <f>IF(VLOOKUP($B127,'Indicator Data (national)'!$B$5:$H$14,6,FALSE)="No data","x",IF(VLOOKUP($B127,'Indicator Data (national)'!$B$5:$H$14,6,FALSE)&gt;R$149,10,IF(VLOOKUP($B127,'Indicator Data (national)'!$B$5:$H$14,6,FALSE)&lt;R$150,0,10-(R$149-VLOOKUP($B127,'Indicator Data (national)'!$B$5:$H$14,6,FALSE))/(R$149-R$150)*10)))</f>
        <v>10</v>
      </c>
      <c r="S127" s="4">
        <f>IF(VLOOKUP($B127,'Indicator Data (national)'!$B$5:$H$14,7,FALSE)="No data","x",IF(VLOOKUP($B127,'Indicator Data (national)'!$B$5:$H$14,7,FALSE)&gt;S$149,10,IF(VLOOKUP($B127,'Indicator Data (national)'!$B$5:$H$14,7,FALSE)&lt;S$150,0,10-(S$149-VLOOKUP($B127,'Indicator Data (national)'!$B$5:$H$14,7,FALSE))/(S$149-S$150)*10)))</f>
        <v>10</v>
      </c>
      <c r="T127" s="138">
        <f t="shared" si="26"/>
        <v>10</v>
      </c>
      <c r="U127" s="6">
        <f>IF('Indicator Data'!G129=5,10,IF('Indicator Data'!G129=4,8,IF('Indicator Data'!G129=3,5,IF('Indicator Data'!G129=2,2,IF('Indicator Data'!G129=1,1,0)))))</f>
        <v>0</v>
      </c>
      <c r="V127" s="4">
        <f>IF('Indicator Data'!H129="No data","x",IF('Indicator Data'!H129&gt;1000,10,IF('Indicator Data'!H129&gt;=500,9,IF('Indicator Data'!H129&gt;=240,8,IF('Indicator Data'!H129&gt;=120,7,IF('Indicator Data'!H129&gt;=60,6,IF('Indicator Data'!H129&gt;=20,5,IF('Indicator Data'!H129&gt;=10,4,IF('Indicator Data'!H129&gt;=5,3,0)))))))))</f>
        <v>6</v>
      </c>
      <c r="W127" s="6">
        <f t="shared" si="27"/>
        <v>6</v>
      </c>
      <c r="X127" s="4">
        <f>IF('Indicator Data'!K129="No data","x",IF('Indicator Data'!K129&gt;X$149,0,IF('Indicator Data'!K129&lt;X$150,10,(X$149-'Indicator Data'!K129)/(X$149-X$150)*10)))</f>
        <v>3.7441467521984673</v>
      </c>
      <c r="Y127" s="6">
        <f t="shared" si="28"/>
        <v>1.8720733760992336</v>
      </c>
      <c r="Z127" s="7">
        <f t="shared" si="29"/>
        <v>3.2155684282254944</v>
      </c>
      <c r="AA127" s="139">
        <f t="shared" si="30"/>
        <v>8</v>
      </c>
    </row>
    <row r="128" spans="1:27" s="11" customFormat="1" x14ac:dyDescent="0.25">
      <c r="A128" s="16" t="s">
        <v>538</v>
      </c>
      <c r="B128" s="11" t="s">
        <v>579</v>
      </c>
      <c r="C128" s="16" t="s">
        <v>539</v>
      </c>
      <c r="D128" s="4">
        <f>IF('Indicator Data'!D130="No data","x",IF('Indicator Data'!D130=0,0,IF(LOG('Indicator Data'!D130)&gt;D$149,10,IF(LOG('Indicator Data'!D130)&lt;D$150,0,10-(D$149-LOG('Indicator Data'!D130))/(D$149-D$150)*10))))</f>
        <v>8.1067391761886434</v>
      </c>
      <c r="E128" s="4">
        <f>IF('Indicator Data'!E130="No data","x",IF('Indicator Data'!E130=0,0,IF(LOG('Indicator Data'!E130)&gt;E$149,10,IF(LOG('Indicator Data'!E130)&lt;E$150,0,10-(E$149-LOG('Indicator Data'!E130))/(E$149-E$150)*10))))</f>
        <v>0.42545417517217743</v>
      </c>
      <c r="F128" s="4">
        <f>IF('Indicator Data'!F130="No data","x",IF('Indicator Data'!F130=0,0,IF(LOG('Indicator Data'!F130)&gt;F$149,10,IF(LOG('Indicator Data'!F130)&lt;F$150,0,10-(F$149-LOG('Indicator Data'!F130))/(F$149-F$150)*10))))</f>
        <v>7.8881428025546345</v>
      </c>
      <c r="G128" s="135">
        <f t="shared" si="38"/>
        <v>2.2911263320177917</v>
      </c>
      <c r="H128" s="54">
        <f>IF('Indicator Data'!D130="No data","x",'Indicator Data'!D130/'Indicator Data'!AN130)</f>
        <v>0.80847352082448509</v>
      </c>
      <c r="I128" s="54">
        <f>IF('Indicator Data'!E130="No data","x",'Indicator Data'!E130/'Indicator Data'!$AN130)</f>
        <v>3.0776617157348531E-6</v>
      </c>
      <c r="J128" s="54">
        <f>IF('Indicator Data'!F130="No data","x",'Indicator Data'!F130/'Indicator Data'!$AN130)</f>
        <v>9.2434491970380589E-2</v>
      </c>
      <c r="K128" s="4">
        <f t="shared" si="22"/>
        <v>10</v>
      </c>
      <c r="L128" s="4">
        <f t="shared" si="23"/>
        <v>1.5388308578678789E-4</v>
      </c>
      <c r="M128" s="4">
        <f t="shared" si="24"/>
        <v>4.6217245985190294</v>
      </c>
      <c r="N128" s="135">
        <f t="shared" si="35"/>
        <v>1.1555465619440974</v>
      </c>
      <c r="O128" s="6">
        <f t="shared" si="36"/>
        <v>9.2840393996551143</v>
      </c>
      <c r="P128" s="6">
        <f t="shared" si="37"/>
        <v>1.7405226668919265</v>
      </c>
      <c r="Q128" s="15">
        <f t="shared" si="25"/>
        <v>6.9733898703640582</v>
      </c>
      <c r="R128" s="4">
        <f>IF(VLOOKUP($B128,'Indicator Data (national)'!$B$5:$H$14,6,FALSE)="No data","x",IF(VLOOKUP($B128,'Indicator Data (national)'!$B$5:$H$14,6,FALSE)&gt;R$149,10,IF(VLOOKUP($B128,'Indicator Data (national)'!$B$5:$H$14,6,FALSE)&lt;R$150,0,10-(R$149-VLOOKUP($B128,'Indicator Data (national)'!$B$5:$H$14,6,FALSE))/(R$149-R$150)*10)))</f>
        <v>10</v>
      </c>
      <c r="S128" s="4">
        <f>IF(VLOOKUP($B128,'Indicator Data (national)'!$B$5:$H$14,7,FALSE)="No data","x",IF(VLOOKUP($B128,'Indicator Data (national)'!$B$5:$H$14,7,FALSE)&gt;S$149,10,IF(VLOOKUP($B128,'Indicator Data (national)'!$B$5:$H$14,7,FALSE)&lt;S$150,0,10-(S$149-VLOOKUP($B128,'Indicator Data (national)'!$B$5:$H$14,7,FALSE))/(S$149-S$150)*10)))</f>
        <v>10</v>
      </c>
      <c r="T128" s="138">
        <f t="shared" si="26"/>
        <v>10</v>
      </c>
      <c r="U128" s="6">
        <f>IF('Indicator Data'!G130=5,10,IF('Indicator Data'!G130=4,8,IF('Indicator Data'!G130=3,5,IF('Indicator Data'!G130=2,2,IF('Indicator Data'!G130=1,1,0)))))</f>
        <v>5</v>
      </c>
      <c r="V128" s="4">
        <f>IF('Indicator Data'!H130="No data","x",IF('Indicator Data'!H130&gt;1000,10,IF('Indicator Data'!H130&gt;=500,9,IF('Indicator Data'!H130&gt;=240,8,IF('Indicator Data'!H130&gt;=120,7,IF('Indicator Data'!H130&gt;=60,6,IF('Indicator Data'!H130&gt;=20,5,IF('Indicator Data'!H130&gt;=10,4,IF('Indicator Data'!H130&gt;=5,3,0)))))))))</f>
        <v>8</v>
      </c>
      <c r="W128" s="6">
        <f t="shared" si="27"/>
        <v>8</v>
      </c>
      <c r="X128" s="4">
        <f>IF('Indicator Data'!K130="No data","x",IF('Indicator Data'!K130&gt;X$149,0,IF('Indicator Data'!K130&lt;X$150,10,(X$149-'Indicator Data'!K130)/(X$149-X$150)*10)))</f>
        <v>3.7441467521984673</v>
      </c>
      <c r="Y128" s="6">
        <f>AVERAGE(U128,X128)</f>
        <v>4.3720733760992339</v>
      </c>
      <c r="Z128" s="7">
        <f>IF(W128="x",Y128,(Y128*0.66)+(W128*0.33))</f>
        <v>5.525568428225494</v>
      </c>
      <c r="AA128" s="139">
        <f t="shared" si="30"/>
        <v>8</v>
      </c>
    </row>
    <row r="129" spans="1:27" s="11" customFormat="1" x14ac:dyDescent="0.25">
      <c r="A129" s="16" t="s">
        <v>540</v>
      </c>
      <c r="B129" s="11" t="s">
        <v>579</v>
      </c>
      <c r="C129" s="16" t="s">
        <v>541</v>
      </c>
      <c r="D129" s="4">
        <f>IF('Indicator Data'!D131="No data","x",IF('Indicator Data'!D131=0,0,IF(LOG('Indicator Data'!D131)&gt;D$149,10,IF(LOG('Indicator Data'!D131)&lt;D$150,0,10-(D$149-LOG('Indicator Data'!D131))/(D$149-D$150)*10))))</f>
        <v>5.1337404401850515</v>
      </c>
      <c r="E129" s="4">
        <f>IF('Indicator Data'!E131="No data","x",IF('Indicator Data'!E131=0,0,IF(LOG('Indicator Data'!E131)&gt;E$149,10,IF(LOG('Indicator Data'!E131)&lt;E$150,0,10-(E$149-LOG('Indicator Data'!E131))/(E$149-E$150)*10))))</f>
        <v>7.975207904399328</v>
      </c>
      <c r="F129" s="4">
        <f>IF('Indicator Data'!F131="No data","x",IF('Indicator Data'!F131=0,0,IF(LOG('Indicator Data'!F131)&gt;F$149,10,IF(LOG('Indicator Data'!F131)&lt;F$150,0,10-(F$149-LOG('Indicator Data'!F131))/(F$149-F$150)*10))))</f>
        <v>0</v>
      </c>
      <c r="G129" s="135">
        <f t="shared" si="38"/>
        <v>5.9814059282994965</v>
      </c>
      <c r="H129" s="54">
        <f>IF('Indicator Data'!D131="No data","x",'Indicator Data'!D131/'Indicator Data'!AN131)</f>
        <v>1.6380108710810706E-2</v>
      </c>
      <c r="I129" s="54">
        <f>IF('Indicator Data'!E131="No data","x",'Indicator Data'!E131/'Indicator Data'!$AN131)</f>
        <v>0.25457937400677583</v>
      </c>
      <c r="J129" s="54">
        <f>IF('Indicator Data'!F131="No data","x",'Indicator Data'!F131/'Indicator Data'!$AN131)</f>
        <v>0</v>
      </c>
      <c r="K129" s="4">
        <f t="shared" si="22"/>
        <v>0.81900543554053407</v>
      </c>
      <c r="L129" s="4">
        <f t="shared" si="23"/>
        <v>10</v>
      </c>
      <c r="M129" s="4">
        <f t="shared" si="24"/>
        <v>0</v>
      </c>
      <c r="N129" s="135">
        <f t="shared" si="35"/>
        <v>7.5</v>
      </c>
      <c r="O129" s="6">
        <f t="shared" si="36"/>
        <v>3.2676596637425992</v>
      </c>
      <c r="P129" s="6">
        <f t="shared" si="37"/>
        <v>6.8071669453051387</v>
      </c>
      <c r="Q129" s="15">
        <f t="shared" si="25"/>
        <v>5.3009667844455404</v>
      </c>
      <c r="R129" s="4">
        <f>IF(VLOOKUP($B129,'Indicator Data (national)'!$B$5:$H$14,6,FALSE)="No data","x",IF(VLOOKUP($B129,'Indicator Data (national)'!$B$5:$H$14,6,FALSE)&gt;R$149,10,IF(VLOOKUP($B129,'Indicator Data (national)'!$B$5:$H$14,6,FALSE)&lt;R$150,0,10-(R$149-VLOOKUP($B129,'Indicator Data (national)'!$B$5:$H$14,6,FALSE))/(R$149-R$150)*10)))</f>
        <v>10</v>
      </c>
      <c r="S129" s="4">
        <f>IF(VLOOKUP($B129,'Indicator Data (national)'!$B$5:$H$14,7,FALSE)="No data","x",IF(VLOOKUP($B129,'Indicator Data (national)'!$B$5:$H$14,7,FALSE)&gt;S$149,10,IF(VLOOKUP($B129,'Indicator Data (national)'!$B$5:$H$14,7,FALSE)&lt;S$150,0,10-(S$149-VLOOKUP($B129,'Indicator Data (national)'!$B$5:$H$14,7,FALSE))/(S$149-S$150)*10)))</f>
        <v>10</v>
      </c>
      <c r="T129" s="138">
        <f t="shared" si="26"/>
        <v>10</v>
      </c>
      <c r="U129" s="6">
        <f>IF('Indicator Data'!G131=5,10,IF('Indicator Data'!G131=4,8,IF('Indicator Data'!G131=3,5,IF('Indicator Data'!G131=2,2,IF('Indicator Data'!G131=1,1,0)))))</f>
        <v>10</v>
      </c>
      <c r="V129" s="4">
        <f>IF('Indicator Data'!H131="No data","x",IF('Indicator Data'!H131&gt;1000,10,IF('Indicator Data'!H131&gt;=500,9,IF('Indicator Data'!H131&gt;=240,8,IF('Indicator Data'!H131&gt;=120,7,IF('Indicator Data'!H131&gt;=60,6,IF('Indicator Data'!H131&gt;=20,5,IF('Indicator Data'!H131&gt;=10,4,IF('Indicator Data'!H131&gt;=5,3,0)))))))))</f>
        <v>10</v>
      </c>
      <c r="W129" s="6">
        <f t="shared" si="27"/>
        <v>10</v>
      </c>
      <c r="X129" s="4">
        <f>IF('Indicator Data'!K131="No data","x",IF('Indicator Data'!K131&gt;X$149,0,IF('Indicator Data'!K131&lt;X$150,10,(X$149-'Indicator Data'!K131)/(X$149-X$150)*10)))</f>
        <v>3.7441467521984673</v>
      </c>
      <c r="Y129" s="6">
        <f>AVERAGE(U129,X129)</f>
        <v>6.8720733760992339</v>
      </c>
      <c r="Z129" s="7">
        <f t="shared" si="29"/>
        <v>7.8355684282254945</v>
      </c>
      <c r="AA129" s="139">
        <f t="shared" si="30"/>
        <v>10</v>
      </c>
    </row>
    <row r="130" spans="1:27" s="11" customFormat="1" x14ac:dyDescent="0.25">
      <c r="A130" s="16" t="s">
        <v>542</v>
      </c>
      <c r="B130" s="11" t="s">
        <v>579</v>
      </c>
      <c r="C130" s="16" t="s">
        <v>543</v>
      </c>
      <c r="D130" s="4">
        <f>IF('Indicator Data'!D132="No data","x",IF('Indicator Data'!D132=0,0,IF(LOG('Indicator Data'!D132)&gt;D$149,10,IF(LOG('Indicator Data'!D132)&lt;D$150,0,10-(D$149-LOG('Indicator Data'!D132))/(D$149-D$150)*10))))</f>
        <v>5.9682678304957735</v>
      </c>
      <c r="E130" s="4">
        <f>IF('Indicator Data'!E132="No data","x",IF('Indicator Data'!E132=0,0,IF(LOG('Indicator Data'!E132)&gt;E$149,10,IF(LOG('Indicator Data'!E132)&lt;E$150,0,10-(E$149-LOG('Indicator Data'!E132))/(E$149-E$150)*10))))</f>
        <v>8.5737494810870238</v>
      </c>
      <c r="F130" s="4">
        <f>IF('Indicator Data'!F132="No data","x",IF('Indicator Data'!F132=0,0,IF(LOG('Indicator Data'!F132)&gt;F$149,10,IF(LOG('Indicator Data'!F132)&lt;F$150,0,10-(F$149-LOG('Indicator Data'!F132))/(F$149-F$150)*10))))</f>
        <v>7.3334063978349961</v>
      </c>
      <c r="G130" s="135">
        <f t="shared" si="38"/>
        <v>8.2636637102740167</v>
      </c>
      <c r="H130" s="54">
        <f>IF('Indicator Data'!D132="No data","x",'Indicator Data'!D132/'Indicator Data'!AN132)</f>
        <v>4.5930485255071929E-2</v>
      </c>
      <c r="I130" s="54">
        <f>IF('Indicator Data'!E132="No data","x",'Indicator Data'!E132/'Indicator Data'!$AN132)</f>
        <v>0.42517061476216111</v>
      </c>
      <c r="J130" s="54">
        <f>IF('Indicator Data'!F132="No data","x",'Indicator Data'!F132/'Indicator Data'!$AN132)</f>
        <v>7.6622689361416585E-2</v>
      </c>
      <c r="K130" s="4">
        <f t="shared" si="22"/>
        <v>2.2965242627535964</v>
      </c>
      <c r="L130" s="4">
        <f t="shared" si="23"/>
        <v>10</v>
      </c>
      <c r="M130" s="4">
        <f t="shared" si="24"/>
        <v>3.8311344680708288</v>
      </c>
      <c r="N130" s="135">
        <f t="shared" si="35"/>
        <v>8.4577836170177072</v>
      </c>
      <c r="O130" s="6">
        <f t="shared" si="36"/>
        <v>4.3782039571043248</v>
      </c>
      <c r="P130" s="6">
        <f t="shared" si="37"/>
        <v>8.362436798533162</v>
      </c>
      <c r="Q130" s="15">
        <f t="shared" si="25"/>
        <v>6.8091849212293321</v>
      </c>
      <c r="R130" s="4">
        <f>IF(VLOOKUP($B130,'Indicator Data (national)'!$B$5:$H$14,6,FALSE)="No data","x",IF(VLOOKUP($B130,'Indicator Data (national)'!$B$5:$H$14,6,FALSE)&gt;R$149,10,IF(VLOOKUP($B130,'Indicator Data (national)'!$B$5:$H$14,6,FALSE)&lt;R$150,0,10-(R$149-VLOOKUP($B130,'Indicator Data (national)'!$B$5:$H$14,6,FALSE))/(R$149-R$150)*10)))</f>
        <v>10</v>
      </c>
      <c r="S130" s="4">
        <f>IF(VLOOKUP($B130,'Indicator Data (national)'!$B$5:$H$14,7,FALSE)="No data","x",IF(VLOOKUP($B130,'Indicator Data (national)'!$B$5:$H$14,7,FALSE)&gt;S$149,10,IF(VLOOKUP($B130,'Indicator Data (national)'!$B$5:$H$14,7,FALSE)&lt;S$150,0,10-(S$149-VLOOKUP($B130,'Indicator Data (national)'!$B$5:$H$14,7,FALSE))/(S$149-S$150)*10)))</f>
        <v>10</v>
      </c>
      <c r="T130" s="138">
        <f t="shared" si="26"/>
        <v>10</v>
      </c>
      <c r="U130" s="6">
        <f>IF('Indicator Data'!G132=5,10,IF('Indicator Data'!G132=4,8,IF('Indicator Data'!G132=3,5,IF('Indicator Data'!G132=2,2,IF('Indicator Data'!G132=1,1,0)))))</f>
        <v>0</v>
      </c>
      <c r="V130" s="4">
        <f>IF('Indicator Data'!H132="No data","x",IF('Indicator Data'!H132&gt;1000,10,IF('Indicator Data'!H132&gt;=500,9,IF('Indicator Data'!H132&gt;=240,8,IF('Indicator Data'!H132&gt;=120,7,IF('Indicator Data'!H132&gt;=60,6,IF('Indicator Data'!H132&gt;=20,5,IF('Indicator Data'!H132&gt;=10,4,IF('Indicator Data'!H132&gt;=5,3,0)))))))))</f>
        <v>6</v>
      </c>
      <c r="W130" s="6">
        <f t="shared" si="27"/>
        <v>6</v>
      </c>
      <c r="X130" s="4">
        <f>IF('Indicator Data'!K132="No data","x",IF('Indicator Data'!K132&gt;X$149,0,IF('Indicator Data'!K132&lt;X$150,10,(X$149-'Indicator Data'!K132)/(X$149-X$150)*10)))</f>
        <v>3.7441467521984673</v>
      </c>
      <c r="Y130" s="6">
        <f t="shared" si="28"/>
        <v>1.8720733760992336</v>
      </c>
      <c r="Z130" s="7">
        <f t="shared" si="29"/>
        <v>3.2155684282254944</v>
      </c>
      <c r="AA130" s="139">
        <f t="shared" si="30"/>
        <v>8</v>
      </c>
    </row>
    <row r="131" spans="1:27" s="11" customFormat="1" x14ac:dyDescent="0.25">
      <c r="A131" s="16" t="s">
        <v>544</v>
      </c>
      <c r="B131" s="11" t="s">
        <v>579</v>
      </c>
      <c r="C131" s="16" t="s">
        <v>545</v>
      </c>
      <c r="D131" s="4">
        <f>IF('Indicator Data'!D133="No data","x",IF('Indicator Data'!D133=0,0,IF(LOG('Indicator Data'!D133)&gt;D$149,10,IF(LOG('Indicator Data'!D133)&lt;D$150,0,10-(D$149-LOG('Indicator Data'!D133))/(D$149-D$150)*10))))</f>
        <v>6.8438755898106214</v>
      </c>
      <c r="E131" s="4">
        <f>IF('Indicator Data'!E133="No data","x",IF('Indicator Data'!E133=0,0,IF(LOG('Indicator Data'!E133)&gt;E$149,10,IF(LOG('Indicator Data'!E133)&lt;E$150,0,10-(E$149-LOG('Indicator Data'!E133))/(E$149-E$150)*10))))</f>
        <v>6.8696602177269162</v>
      </c>
      <c r="F131" s="4">
        <f>IF('Indicator Data'!F133="No data","x",IF('Indicator Data'!F133=0,0,IF(LOG('Indicator Data'!F133)&gt;F$149,10,IF(LOG('Indicator Data'!F133)&lt;F$150,0,10-(F$149-LOG('Indicator Data'!F133))/(F$149-F$150)*10))))</f>
        <v>0</v>
      </c>
      <c r="G131" s="135">
        <f t="shared" si="38"/>
        <v>5.1522451632951869</v>
      </c>
      <c r="H131" s="54">
        <f>IF('Indicator Data'!D133="No data","x",'Indicator Data'!D133/'Indicator Data'!AN133)</f>
        <v>0.78534216492734787</v>
      </c>
      <c r="I131" s="54">
        <f>IF('Indicator Data'!E133="No data","x",'Indicator Data'!E133/'Indicator Data'!$AN133)</f>
        <v>0.16832248457883139</v>
      </c>
      <c r="J131" s="54">
        <f>IF('Indicator Data'!F133="No data","x",'Indicator Data'!F133/'Indicator Data'!$AN133)</f>
        <v>0</v>
      </c>
      <c r="K131" s="4">
        <f t="shared" si="22"/>
        <v>10</v>
      </c>
      <c r="L131" s="4">
        <f t="shared" si="23"/>
        <v>8.4161242289415696</v>
      </c>
      <c r="M131" s="4">
        <f t="shared" si="24"/>
        <v>0</v>
      </c>
      <c r="N131" s="135">
        <f t="shared" si="35"/>
        <v>6.3120931717061772</v>
      </c>
      <c r="O131" s="6">
        <f t="shared" ref="O131:O148" si="39">IF(AND(D131="x",K131="x"),"x",(10-GEOMEAN(((10-D131)/10*9+1),((10-K131)/10*9+1)))/9*10)</f>
        <v>8.9336417539340705</v>
      </c>
      <c r="P131" s="6">
        <f t="shared" ref="P131:P148" si="40">IF(AND(G131="x",N131="x"),"x",(10-GEOMEAN(((10-G131)/10*9+1),((10-N131)/10*9+1)))/9*10)</f>
        <v>5.763522441245243</v>
      </c>
      <c r="Q131" s="15">
        <f t="shared" si="25"/>
        <v>7.6987496907131989</v>
      </c>
      <c r="R131" s="4">
        <f>IF(VLOOKUP($B131,'Indicator Data (national)'!$B$5:$H$14,6,FALSE)="No data","x",IF(VLOOKUP($B131,'Indicator Data (national)'!$B$5:$H$14,6,FALSE)&gt;R$149,10,IF(VLOOKUP($B131,'Indicator Data (national)'!$B$5:$H$14,6,FALSE)&lt;R$150,0,10-(R$149-VLOOKUP($B131,'Indicator Data (national)'!$B$5:$H$14,6,FALSE))/(R$149-R$150)*10)))</f>
        <v>10</v>
      </c>
      <c r="S131" s="4">
        <f>IF(VLOOKUP($B131,'Indicator Data (national)'!$B$5:$H$14,7,FALSE)="No data","x",IF(VLOOKUP($B131,'Indicator Data (national)'!$B$5:$H$14,7,FALSE)&gt;S$149,10,IF(VLOOKUP($B131,'Indicator Data (national)'!$B$5:$H$14,7,FALSE)&lt;S$150,0,10-(S$149-VLOOKUP($B131,'Indicator Data (national)'!$B$5:$H$14,7,FALSE))/(S$149-S$150)*10)))</f>
        <v>10</v>
      </c>
      <c r="T131" s="138">
        <f t="shared" si="26"/>
        <v>10</v>
      </c>
      <c r="U131" s="6">
        <f>IF('Indicator Data'!G133=5,10,IF('Indicator Data'!G133=4,8,IF('Indicator Data'!G133=3,5,IF('Indicator Data'!G133=2,2,IF('Indicator Data'!G133=1,1,0)))))</f>
        <v>0</v>
      </c>
      <c r="V131" s="4">
        <f>IF('Indicator Data'!H133="No data","x",IF('Indicator Data'!H133&gt;1000,10,IF('Indicator Data'!H133&gt;=500,9,IF('Indicator Data'!H133&gt;=240,8,IF('Indicator Data'!H133&gt;=120,7,IF('Indicator Data'!H133&gt;=60,6,IF('Indicator Data'!H133&gt;=20,5,IF('Indicator Data'!H133&gt;=10,4,IF('Indicator Data'!H133&gt;=5,3,0)))))))))</f>
        <v>3</v>
      </c>
      <c r="W131" s="6">
        <f t="shared" si="27"/>
        <v>3</v>
      </c>
      <c r="X131" s="4">
        <f>IF('Indicator Data'!K133="No data","x",IF('Indicator Data'!K133&gt;X$149,0,IF('Indicator Data'!K133&lt;X$150,10,(X$149-'Indicator Data'!K133)/(X$149-X$150)*10)))</f>
        <v>3.7441467521984673</v>
      </c>
      <c r="Y131" s="6">
        <f t="shared" si="28"/>
        <v>1.8720733760992336</v>
      </c>
      <c r="Z131" s="7">
        <f t="shared" si="29"/>
        <v>2.2255684282254942</v>
      </c>
      <c r="AA131" s="139">
        <f t="shared" si="30"/>
        <v>6.5</v>
      </c>
    </row>
    <row r="132" spans="1:27" s="11" customFormat="1" x14ac:dyDescent="0.25">
      <c r="A132" s="16" t="s">
        <v>546</v>
      </c>
      <c r="B132" s="11" t="s">
        <v>579</v>
      </c>
      <c r="C132" s="16" t="s">
        <v>547</v>
      </c>
      <c r="D132" s="4">
        <f>IF('Indicator Data'!D134="No data","x",IF('Indicator Data'!D134=0,0,IF(LOG('Indicator Data'!D134)&gt;D$149,10,IF(LOG('Indicator Data'!D134)&lt;D$150,0,10-(D$149-LOG('Indicator Data'!D134))/(D$149-D$150)*10))))</f>
        <v>6.2922262117006564</v>
      </c>
      <c r="E132" s="4">
        <f>IF('Indicator Data'!E134="No data","x",IF('Indicator Data'!E134=0,0,IF(LOG('Indicator Data'!E134)&gt;E$149,10,IF(LOG('Indicator Data'!E134)&lt;E$150,0,10-(E$149-LOG('Indicator Data'!E134))/(E$149-E$150)*10))))</f>
        <v>7.6897839187223589</v>
      </c>
      <c r="F132" s="4">
        <f>IF('Indicator Data'!F134="No data","x",IF('Indicator Data'!F134=0,0,IF(LOG('Indicator Data'!F134)&gt;F$149,10,IF(LOG('Indicator Data'!F134)&lt;F$150,0,10-(F$149-LOG('Indicator Data'!F134))/(F$149-F$150)*10))))</f>
        <v>0</v>
      </c>
      <c r="G132" s="135">
        <f t="shared" si="38"/>
        <v>5.7673379390417692</v>
      </c>
      <c r="H132" s="54">
        <f>IF('Indicator Data'!D134="No data","x",'Indicator Data'!D134/'Indicator Data'!AN134)</f>
        <v>0.16216470029054836</v>
      </c>
      <c r="I132" s="54">
        <f>IF('Indicator Data'!E134="No data","x",'Indicator Data'!E134/'Indicator Data'!$AN134)</f>
        <v>0.26258404053877937</v>
      </c>
      <c r="J132" s="54">
        <f>IF('Indicator Data'!F134="No data","x",'Indicator Data'!F134/'Indicator Data'!$AN134)</f>
        <v>0</v>
      </c>
      <c r="K132" s="4">
        <f t="shared" ref="K132:K148" si="41">IF(H132="x","x",IF(H132&gt;K$149,10,IF(H132&lt;K$150,0,10-(K$149-H132)/(K$149-K$150)*10)))</f>
        <v>8.108235014527418</v>
      </c>
      <c r="L132" s="4">
        <f t="shared" ref="L132:L148" si="42">IF(I132="x","x",IF(I132&gt;L$149,10,IF(I132&lt;L$150,0,10-(L$149-I132)/(L$149-L$150)*10)))</f>
        <v>10</v>
      </c>
      <c r="M132" s="4">
        <f t="shared" ref="M132:M148" si="43">IF(J132="x","x",IF(J132&gt;M$149,10,IF(J132&lt;M$150,0,10-(M$149-J132)/(M$149-M$150)*10)))</f>
        <v>0</v>
      </c>
      <c r="N132" s="135">
        <f t="shared" si="35"/>
        <v>7.5</v>
      </c>
      <c r="O132" s="6">
        <f t="shared" si="39"/>
        <v>7.3070981935952206</v>
      </c>
      <c r="P132" s="6">
        <f t="shared" si="40"/>
        <v>6.7182807391394057</v>
      </c>
      <c r="Q132" s="15">
        <f t="shared" ref="Q132:Q148" si="44">IF(AND(O132="x",P132="x"),"x",(10-GEOMEAN(((10-O132)/10*9+1),((10-P132)/10*9+1)))/9*10)</f>
        <v>7.0232775186765428</v>
      </c>
      <c r="R132" s="4">
        <f>IF(VLOOKUP($B132,'Indicator Data (national)'!$B$5:$H$14,6,FALSE)="No data","x",IF(VLOOKUP($B132,'Indicator Data (national)'!$B$5:$H$14,6,FALSE)&gt;R$149,10,IF(VLOOKUP($B132,'Indicator Data (national)'!$B$5:$H$14,6,FALSE)&lt;R$150,0,10-(R$149-VLOOKUP($B132,'Indicator Data (national)'!$B$5:$H$14,6,FALSE))/(R$149-R$150)*10)))</f>
        <v>10</v>
      </c>
      <c r="S132" s="4">
        <f>IF(VLOOKUP($B132,'Indicator Data (national)'!$B$5:$H$14,7,FALSE)="No data","x",IF(VLOOKUP($B132,'Indicator Data (national)'!$B$5:$H$14,7,FALSE)&gt;S$149,10,IF(VLOOKUP($B132,'Indicator Data (national)'!$B$5:$H$14,7,FALSE)&lt;S$150,0,10-(S$149-VLOOKUP($B132,'Indicator Data (national)'!$B$5:$H$14,7,FALSE))/(S$149-S$150)*10)))</f>
        <v>10</v>
      </c>
      <c r="T132" s="138">
        <f t="shared" ref="T132:T148" si="45">(10-GEOMEAN(((10-R132)/10*9+1),((10-S132)/10*9+1)))/9*10</f>
        <v>10</v>
      </c>
      <c r="U132" s="6">
        <f>IF('Indicator Data'!G134=5,10,IF('Indicator Data'!G134=4,8,IF('Indicator Data'!G134=3,5,IF('Indicator Data'!G134=2,2,IF('Indicator Data'!G134=1,1,0)))))</f>
        <v>0</v>
      </c>
      <c r="V132" s="4" t="str">
        <f>IF('Indicator Data'!H134="No data","x",IF('Indicator Data'!H134&gt;1000,10,IF('Indicator Data'!H134&gt;=500,9,IF('Indicator Data'!H134&gt;=240,8,IF('Indicator Data'!H134&gt;=120,7,IF('Indicator Data'!H134&gt;=60,6,IF('Indicator Data'!H134&gt;=20,5,IF('Indicator Data'!H134&gt;=10,4,IF('Indicator Data'!H134&gt;=5,3,0)))))))))</f>
        <v>x</v>
      </c>
      <c r="W132" s="6">
        <f t="shared" ref="W132:W148" si="46">IF(V132="x",U132,IF(V132&gt;U132,V132,U132))</f>
        <v>0</v>
      </c>
      <c r="X132" s="4">
        <f>IF('Indicator Data'!K134="No data","x",IF('Indicator Data'!K134&gt;X$149,0,IF('Indicator Data'!K134&lt;X$150,10,(X$149-'Indicator Data'!K134)/(X$149-X$150)*10)))</f>
        <v>3.7441467521984673</v>
      </c>
      <c r="Y132" s="6">
        <f t="shared" ref="Y132:Y148" si="47">AVERAGE(U132,X132)</f>
        <v>1.8720733760992336</v>
      </c>
      <c r="Z132" s="7">
        <f t="shared" ref="Z132:Z148" si="48">IF(W132="x",Y132,(Y132*0.66)+(W132*0.33))</f>
        <v>1.2355684282254942</v>
      </c>
      <c r="AA132" s="139">
        <f t="shared" ref="AA132:AA148" si="49">IF(W132&gt;=8,W132,AVERAGE(T132,W132))</f>
        <v>5</v>
      </c>
    </row>
    <row r="133" spans="1:27" s="11" customFormat="1" x14ac:dyDescent="0.25">
      <c r="A133" s="16" t="s">
        <v>548</v>
      </c>
      <c r="B133" s="11" t="s">
        <v>579</v>
      </c>
      <c r="C133" s="16" t="s">
        <v>549</v>
      </c>
      <c r="D133" s="4">
        <f>IF('Indicator Data'!D135="No data","x",IF('Indicator Data'!D135=0,0,IF(LOG('Indicator Data'!D135)&gt;D$149,10,IF(LOG('Indicator Data'!D135)&lt;D$150,0,10-(D$149-LOG('Indicator Data'!D135))/(D$149-D$150)*10))))</f>
        <v>7.1938546246944375</v>
      </c>
      <c r="E133" s="4">
        <f>IF('Indicator Data'!E135="No data","x",IF('Indicator Data'!E135=0,0,IF(LOG('Indicator Data'!E135)&gt;E$149,10,IF(LOG('Indicator Data'!E135)&lt;E$150,0,10-(E$149-LOG('Indicator Data'!E135))/(E$149-E$150)*10))))</f>
        <v>0</v>
      </c>
      <c r="F133" s="4">
        <f>IF('Indicator Data'!F135="No data","x",IF('Indicator Data'!F135=0,0,IF(LOG('Indicator Data'!F135)&gt;F$149,10,IF(LOG('Indicator Data'!F135)&lt;F$150,0,10-(F$149-LOG('Indicator Data'!F135))/(F$149-F$150)*10))))</f>
        <v>0</v>
      </c>
      <c r="G133" s="135">
        <f t="shared" si="38"/>
        <v>0</v>
      </c>
      <c r="H133" s="54">
        <f>IF('Indicator Data'!D135="No data","x",'Indicator Data'!D135/'Indicator Data'!AN135)</f>
        <v>0.85960447794873907</v>
      </c>
      <c r="I133" s="54">
        <f>IF('Indicator Data'!E135="No data","x",'Indicator Data'!E135/'Indicator Data'!$AN135)</f>
        <v>0</v>
      </c>
      <c r="J133" s="54">
        <f>IF('Indicator Data'!F135="No data","x",'Indicator Data'!F135/'Indicator Data'!$AN135)</f>
        <v>0</v>
      </c>
      <c r="K133" s="4">
        <f t="shared" si="41"/>
        <v>10</v>
      </c>
      <c r="L133" s="4">
        <f t="shared" si="42"/>
        <v>0</v>
      </c>
      <c r="M133" s="4">
        <f t="shared" si="43"/>
        <v>0</v>
      </c>
      <c r="N133" s="135">
        <f t="shared" si="35"/>
        <v>0</v>
      </c>
      <c r="O133" s="6">
        <f t="shared" si="39"/>
        <v>9.0248447793285074</v>
      </c>
      <c r="P133" s="6">
        <f t="shared" si="40"/>
        <v>0</v>
      </c>
      <c r="Q133" s="15">
        <f t="shared" si="44"/>
        <v>6.296473324132041</v>
      </c>
      <c r="R133" s="4">
        <f>IF(VLOOKUP($B133,'Indicator Data (national)'!$B$5:$H$14,6,FALSE)="No data","x",IF(VLOOKUP($B133,'Indicator Data (national)'!$B$5:$H$14,6,FALSE)&gt;R$149,10,IF(VLOOKUP($B133,'Indicator Data (national)'!$B$5:$H$14,6,FALSE)&lt;R$150,0,10-(R$149-VLOOKUP($B133,'Indicator Data (national)'!$B$5:$H$14,6,FALSE))/(R$149-R$150)*10)))</f>
        <v>10</v>
      </c>
      <c r="S133" s="4">
        <f>IF(VLOOKUP($B133,'Indicator Data (national)'!$B$5:$H$14,7,FALSE)="No data","x",IF(VLOOKUP($B133,'Indicator Data (national)'!$B$5:$H$14,7,FALSE)&gt;S$149,10,IF(VLOOKUP($B133,'Indicator Data (national)'!$B$5:$H$14,7,FALSE)&lt;S$150,0,10-(S$149-VLOOKUP($B133,'Indicator Data (national)'!$B$5:$H$14,7,FALSE))/(S$149-S$150)*10)))</f>
        <v>10</v>
      </c>
      <c r="T133" s="138">
        <f t="shared" si="45"/>
        <v>10</v>
      </c>
      <c r="U133" s="6">
        <f>IF('Indicator Data'!G135=5,10,IF('Indicator Data'!G135=4,8,IF('Indicator Data'!G135=3,5,IF('Indicator Data'!G135=2,2,IF('Indicator Data'!G135=1,1,0)))))</f>
        <v>0</v>
      </c>
      <c r="V133" s="4" t="str">
        <f>IF('Indicator Data'!H135="No data","x",IF('Indicator Data'!H135&gt;1000,10,IF('Indicator Data'!H135&gt;=500,9,IF('Indicator Data'!H135&gt;=240,8,IF('Indicator Data'!H135&gt;=120,7,IF('Indicator Data'!H135&gt;=60,6,IF('Indicator Data'!H135&gt;=20,5,IF('Indicator Data'!H135&gt;=10,4,IF('Indicator Data'!H135&gt;=5,3,0)))))))))</f>
        <v>x</v>
      </c>
      <c r="W133" s="6">
        <f t="shared" si="46"/>
        <v>0</v>
      </c>
      <c r="X133" s="4">
        <f>IF('Indicator Data'!K135="No data","x",IF('Indicator Data'!K135&gt;X$149,0,IF('Indicator Data'!K135&lt;X$150,10,(X$149-'Indicator Data'!K135)/(X$149-X$150)*10)))</f>
        <v>3.7441467521984673</v>
      </c>
      <c r="Y133" s="6">
        <f t="shared" si="47"/>
        <v>1.8720733760992336</v>
      </c>
      <c r="Z133" s="7">
        <f t="shared" si="48"/>
        <v>1.2355684282254942</v>
      </c>
      <c r="AA133" s="139">
        <f t="shared" si="49"/>
        <v>5</v>
      </c>
    </row>
    <row r="134" spans="1:27" s="11" customFormat="1" x14ac:dyDescent="0.25">
      <c r="A134" s="16" t="s">
        <v>550</v>
      </c>
      <c r="B134" s="11" t="s">
        <v>579</v>
      </c>
      <c r="C134" s="16" t="s">
        <v>551</v>
      </c>
      <c r="D134" s="4">
        <f>IF('Indicator Data'!D136="No data","x",IF('Indicator Data'!D136=0,0,IF(LOG('Indicator Data'!D136)&gt;D$149,10,IF(LOG('Indicator Data'!D136)&lt;D$150,0,10-(D$149-LOG('Indicator Data'!D136))/(D$149-D$150)*10))))</f>
        <v>7.0976946746406098</v>
      </c>
      <c r="E134" s="4">
        <f>IF('Indicator Data'!E136="No data","x",IF('Indicator Data'!E136=0,0,IF(LOG('Indicator Data'!E136)&gt;E$149,10,IF(LOG('Indicator Data'!E136)&lt;E$150,0,10-(E$149-LOG('Indicator Data'!E136))/(E$149-E$150)*10))))</f>
        <v>0</v>
      </c>
      <c r="F134" s="4">
        <f>IF('Indicator Data'!F136="No data","x",IF('Indicator Data'!F136=0,0,IF(LOG('Indicator Data'!F136)&gt;F$149,10,IF(LOG('Indicator Data'!F136)&lt;F$150,0,10-(F$149-LOG('Indicator Data'!F136))/(F$149-F$150)*10))))</f>
        <v>4.6172274018252493</v>
      </c>
      <c r="G134" s="135">
        <f t="shared" si="38"/>
        <v>1.1543068504563123</v>
      </c>
      <c r="H134" s="54">
        <f>IF('Indicator Data'!D136="No data","x",'Indicator Data'!D136/'Indicator Data'!AN136)</f>
        <v>0.66084965805854579</v>
      </c>
      <c r="I134" s="54">
        <f>IF('Indicator Data'!E136="No data","x",'Indicator Data'!E136/'Indicator Data'!$AN136)</f>
        <v>0</v>
      </c>
      <c r="J134" s="54">
        <f>IF('Indicator Data'!F136="No data","x",'Indicator Data'!F136/'Indicator Data'!$AN136)</f>
        <v>4.1884452076311725E-3</v>
      </c>
      <c r="K134" s="4">
        <f t="shared" si="41"/>
        <v>10</v>
      </c>
      <c r="L134" s="4">
        <f t="shared" si="42"/>
        <v>0</v>
      </c>
      <c r="M134" s="4">
        <f t="shared" si="43"/>
        <v>0.20942226038155809</v>
      </c>
      <c r="N134" s="135">
        <f t="shared" si="35"/>
        <v>5.2355565095389522E-2</v>
      </c>
      <c r="O134" s="6">
        <f t="shared" si="39"/>
        <v>8.9993934225745189</v>
      </c>
      <c r="P134" s="6">
        <f t="shared" si="40"/>
        <v>0.6177863597222929</v>
      </c>
      <c r="Q134" s="15">
        <f t="shared" si="44"/>
        <v>6.4037828360630868</v>
      </c>
      <c r="R134" s="4">
        <f>IF(VLOOKUP($B134,'Indicator Data (national)'!$B$5:$H$14,6,FALSE)="No data","x",IF(VLOOKUP($B134,'Indicator Data (national)'!$B$5:$H$14,6,FALSE)&gt;R$149,10,IF(VLOOKUP($B134,'Indicator Data (national)'!$B$5:$H$14,6,FALSE)&lt;R$150,0,10-(R$149-VLOOKUP($B134,'Indicator Data (national)'!$B$5:$H$14,6,FALSE))/(R$149-R$150)*10)))</f>
        <v>10</v>
      </c>
      <c r="S134" s="4">
        <f>IF(VLOOKUP($B134,'Indicator Data (national)'!$B$5:$H$14,7,FALSE)="No data","x",IF(VLOOKUP($B134,'Indicator Data (national)'!$B$5:$H$14,7,FALSE)&gt;S$149,10,IF(VLOOKUP($B134,'Indicator Data (national)'!$B$5:$H$14,7,FALSE)&lt;S$150,0,10-(S$149-VLOOKUP($B134,'Indicator Data (national)'!$B$5:$H$14,7,FALSE))/(S$149-S$150)*10)))</f>
        <v>10</v>
      </c>
      <c r="T134" s="138">
        <f t="shared" si="45"/>
        <v>10</v>
      </c>
      <c r="U134" s="6">
        <f>IF('Indicator Data'!G136=5,10,IF('Indicator Data'!G136=4,8,IF('Indicator Data'!G136=3,5,IF('Indicator Data'!G136=2,2,IF('Indicator Data'!G136=1,1,0)))))</f>
        <v>0</v>
      </c>
      <c r="V134" s="4" t="str">
        <f>IF('Indicator Data'!H136="No data","x",IF('Indicator Data'!H136&gt;1000,10,IF('Indicator Data'!H136&gt;=500,9,IF('Indicator Data'!H136&gt;=240,8,IF('Indicator Data'!H136&gt;=120,7,IF('Indicator Data'!H136&gt;=60,6,IF('Indicator Data'!H136&gt;=20,5,IF('Indicator Data'!H136&gt;=10,4,IF('Indicator Data'!H136&gt;=5,3,0)))))))))</f>
        <v>x</v>
      </c>
      <c r="W134" s="6">
        <f t="shared" si="46"/>
        <v>0</v>
      </c>
      <c r="X134" s="4">
        <f>IF('Indicator Data'!K136="No data","x",IF('Indicator Data'!K136&gt;X$149,0,IF('Indicator Data'!K136&lt;X$150,10,(X$149-'Indicator Data'!K136)/(X$149-X$150)*10)))</f>
        <v>3.7441467521984673</v>
      </c>
      <c r="Y134" s="6">
        <f t="shared" si="47"/>
        <v>1.8720733760992336</v>
      </c>
      <c r="Z134" s="7">
        <f t="shared" si="48"/>
        <v>1.2355684282254942</v>
      </c>
      <c r="AA134" s="139">
        <f t="shared" si="49"/>
        <v>5</v>
      </c>
    </row>
    <row r="135" spans="1:27" s="28" customFormat="1" x14ac:dyDescent="0.25">
      <c r="A135" s="16" t="s">
        <v>552</v>
      </c>
      <c r="B135" s="11" t="s">
        <v>579</v>
      </c>
      <c r="C135" s="16" t="s">
        <v>553</v>
      </c>
      <c r="D135" s="4">
        <f>IF('Indicator Data'!D137="No data","x",IF('Indicator Data'!D137=0,0,IF(LOG('Indicator Data'!D137)&gt;D$149,10,IF(LOG('Indicator Data'!D137)&lt;D$150,0,10-(D$149-LOG('Indicator Data'!D137))/(D$149-D$150)*10))))</f>
        <v>7.2025685273065179</v>
      </c>
      <c r="E135" s="4">
        <f>IF('Indicator Data'!E137="No data","x",IF('Indicator Data'!E137=0,0,IF(LOG('Indicator Data'!E137)&gt;E$149,10,IF(LOG('Indicator Data'!E137)&lt;E$150,0,10-(E$149-LOG('Indicator Data'!E137))/(E$149-E$150)*10))))</f>
        <v>8.1694531236651784</v>
      </c>
      <c r="F135" s="4">
        <f>IF('Indicator Data'!F137="No data","x",IF('Indicator Data'!F137=0,0,IF(LOG('Indicator Data'!F137)&gt;F$149,10,IF(LOG('Indicator Data'!F137)&lt;F$150,0,10-(F$149-LOG('Indicator Data'!F137))/(F$149-F$150)*10))))</f>
        <v>0</v>
      </c>
      <c r="G135" s="135">
        <f t="shared" si="38"/>
        <v>6.1270898427488838</v>
      </c>
      <c r="H135" s="54">
        <f>IF('Indicator Data'!D137="No data","x",'Indicator Data'!D137/'Indicator Data'!AN137)</f>
        <v>0.38012325220093218</v>
      </c>
      <c r="I135" s="54">
        <f>IF('Indicator Data'!E137="No data","x",'Indicator Data'!E137/'Indicator Data'!$AN137)</f>
        <v>0.27529501122043848</v>
      </c>
      <c r="J135" s="54">
        <f>IF('Indicator Data'!F137="No data","x",'Indicator Data'!F137/'Indicator Data'!$AN137)</f>
        <v>0</v>
      </c>
      <c r="K135" s="4">
        <f t="shared" si="41"/>
        <v>10</v>
      </c>
      <c r="L135" s="4">
        <f t="shared" si="42"/>
        <v>10</v>
      </c>
      <c r="M135" s="4">
        <f t="shared" si="43"/>
        <v>0</v>
      </c>
      <c r="N135" s="135">
        <f t="shared" si="35"/>
        <v>7.5</v>
      </c>
      <c r="O135" s="6">
        <f t="shared" si="39"/>
        <v>9.0271665117716235</v>
      </c>
      <c r="P135" s="6">
        <f t="shared" si="40"/>
        <v>6.8687232716748188</v>
      </c>
      <c r="Q135" s="15">
        <f t="shared" si="44"/>
        <v>8.1377458079072191</v>
      </c>
      <c r="R135" s="4">
        <f>IF(VLOOKUP($B135,'Indicator Data (national)'!$B$5:$H$14,6,FALSE)="No data","x",IF(VLOOKUP($B135,'Indicator Data (national)'!$B$5:$H$14,6,FALSE)&gt;R$149,10,IF(VLOOKUP($B135,'Indicator Data (national)'!$B$5:$H$14,6,FALSE)&lt;R$150,0,10-(R$149-VLOOKUP($B135,'Indicator Data (national)'!$B$5:$H$14,6,FALSE))/(R$149-R$150)*10)))</f>
        <v>10</v>
      </c>
      <c r="S135" s="4">
        <f>IF(VLOOKUP($B135,'Indicator Data (national)'!$B$5:$H$14,7,FALSE)="No data","x",IF(VLOOKUP($B135,'Indicator Data (national)'!$B$5:$H$14,7,FALSE)&gt;S$149,10,IF(VLOOKUP($B135,'Indicator Data (national)'!$B$5:$H$14,7,FALSE)&lt;S$150,0,10-(S$149-VLOOKUP($B135,'Indicator Data (national)'!$B$5:$H$14,7,FALSE))/(S$149-S$150)*10)))</f>
        <v>10</v>
      </c>
      <c r="T135" s="138">
        <f t="shared" si="45"/>
        <v>10</v>
      </c>
      <c r="U135" s="6">
        <f>IF('Indicator Data'!G137=5,10,IF('Indicator Data'!G137=4,8,IF('Indicator Data'!G137=3,5,IF('Indicator Data'!G137=2,2,IF('Indicator Data'!G137=1,1,0)))))</f>
        <v>10</v>
      </c>
      <c r="V135" s="4">
        <f>IF('Indicator Data'!H137="No data","x",IF('Indicator Data'!H137&gt;1000,10,IF('Indicator Data'!H137&gt;=500,9,IF('Indicator Data'!H137&gt;=240,8,IF('Indicator Data'!H137&gt;=120,7,IF('Indicator Data'!H137&gt;=60,6,IF('Indicator Data'!H137&gt;=20,5,IF('Indicator Data'!H137&gt;=10,4,IF('Indicator Data'!H137&gt;=5,3,0)))))))))</f>
        <v>10</v>
      </c>
      <c r="W135" s="6">
        <f t="shared" si="46"/>
        <v>10</v>
      </c>
      <c r="X135" s="4">
        <f>IF('Indicator Data'!K137="No data","x",IF('Indicator Data'!K137&gt;X$149,0,IF('Indicator Data'!K137&lt;X$150,10,(X$149-'Indicator Data'!K137)/(X$149-X$150)*10)))</f>
        <v>3.7441467521984673</v>
      </c>
      <c r="Y135" s="6">
        <f t="shared" si="47"/>
        <v>6.8720733760992339</v>
      </c>
      <c r="Z135" s="7">
        <f t="shared" si="48"/>
        <v>7.8355684282254945</v>
      </c>
      <c r="AA135" s="139">
        <f t="shared" si="49"/>
        <v>10</v>
      </c>
    </row>
    <row r="136" spans="1:27" s="28" customFormat="1" x14ac:dyDescent="0.25">
      <c r="A136" s="16" t="s">
        <v>554</v>
      </c>
      <c r="B136" s="11" t="s">
        <v>579</v>
      </c>
      <c r="C136" s="16" t="s">
        <v>555</v>
      </c>
      <c r="D136" s="4">
        <f>IF('Indicator Data'!D138="No data","x",IF('Indicator Data'!D138=0,0,IF(LOG('Indicator Data'!D138)&gt;D$149,10,IF(LOG('Indicator Data'!D138)&lt;D$150,0,10-(D$149-LOG('Indicator Data'!D138))/(D$149-D$150)*10))))</f>
        <v>6.2744770567918096</v>
      </c>
      <c r="E136" s="4">
        <f>IF('Indicator Data'!E138="No data","x",IF('Indicator Data'!E138=0,0,IF(LOG('Indicator Data'!E138)&gt;E$149,10,IF(LOG('Indicator Data'!E138)&lt;E$150,0,10-(E$149-LOG('Indicator Data'!E138))/(E$149-E$150)*10))))</f>
        <v>7.7295297071803883</v>
      </c>
      <c r="F136" s="4">
        <f>IF('Indicator Data'!F138="No data","x",IF('Indicator Data'!F138=0,0,IF(LOG('Indicator Data'!F138)&gt;F$149,10,IF(LOG('Indicator Data'!F138)&lt;F$150,0,10-(F$149-LOG('Indicator Data'!F138))/(F$149-F$150)*10))))</f>
        <v>6.6970988738741237</v>
      </c>
      <c r="G136" s="135">
        <f t="shared" si="38"/>
        <v>7.4714219988538222</v>
      </c>
      <c r="H136" s="54">
        <f>IF('Indicator Data'!D138="No data","x",'Indicator Data'!D138/'Indicator Data'!AN138)</f>
        <v>0.14760712856025607</v>
      </c>
      <c r="I136" s="54">
        <f>IF('Indicator Data'!E138="No data","x",'Indicator Data'!E138/'Indicator Data'!$AN138)</f>
        <v>0.25983115056130562</v>
      </c>
      <c r="J136" s="54">
        <f>IF('Indicator Data'!F138="No data","x",'Indicator Data'!F138/'Indicator Data'!$AN138)</f>
        <v>6.2406915299429808E-2</v>
      </c>
      <c r="K136" s="4">
        <f t="shared" si="41"/>
        <v>7.3803564280128029</v>
      </c>
      <c r="L136" s="4">
        <f t="shared" si="42"/>
        <v>10</v>
      </c>
      <c r="M136" s="4">
        <f t="shared" si="43"/>
        <v>3.120345764971491</v>
      </c>
      <c r="N136" s="135">
        <f t="shared" si="35"/>
        <v>8.2800864412428723</v>
      </c>
      <c r="O136" s="6">
        <f t="shared" si="39"/>
        <v>6.8632533982651998</v>
      </c>
      <c r="P136" s="6">
        <f t="shared" si="40"/>
        <v>7.901118951081556</v>
      </c>
      <c r="Q136" s="15">
        <f t="shared" si="44"/>
        <v>7.4184711401477283</v>
      </c>
      <c r="R136" s="4">
        <f>IF(VLOOKUP($B136,'Indicator Data (national)'!$B$5:$H$14,6,FALSE)="No data","x",IF(VLOOKUP($B136,'Indicator Data (national)'!$B$5:$H$14,6,FALSE)&gt;R$149,10,IF(VLOOKUP($B136,'Indicator Data (national)'!$B$5:$H$14,6,FALSE)&lt;R$150,0,10-(R$149-VLOOKUP($B136,'Indicator Data (national)'!$B$5:$H$14,6,FALSE))/(R$149-R$150)*10)))</f>
        <v>10</v>
      </c>
      <c r="S136" s="4">
        <f>IF(VLOOKUP($B136,'Indicator Data (national)'!$B$5:$H$14,7,FALSE)="No data","x",IF(VLOOKUP($B136,'Indicator Data (national)'!$B$5:$H$14,7,FALSE)&gt;S$149,10,IF(VLOOKUP($B136,'Indicator Data (national)'!$B$5:$H$14,7,FALSE)&lt;S$150,0,10-(S$149-VLOOKUP($B136,'Indicator Data (national)'!$B$5:$H$14,7,FALSE))/(S$149-S$150)*10)))</f>
        <v>10</v>
      </c>
      <c r="T136" s="138">
        <f t="shared" si="45"/>
        <v>10</v>
      </c>
      <c r="U136" s="6">
        <f>IF('Indicator Data'!G138=5,10,IF('Indicator Data'!G138=4,8,IF('Indicator Data'!G138=3,5,IF('Indicator Data'!G138=2,2,IF('Indicator Data'!G138=1,1,0)))))</f>
        <v>10</v>
      </c>
      <c r="V136" s="4">
        <f>IF('Indicator Data'!H138="No data","x",IF('Indicator Data'!H138&gt;1000,10,IF('Indicator Data'!H138&gt;=500,9,IF('Indicator Data'!H138&gt;=240,8,IF('Indicator Data'!H138&gt;=120,7,IF('Indicator Data'!H138&gt;=60,6,IF('Indicator Data'!H138&gt;=20,5,IF('Indicator Data'!H138&gt;=10,4,IF('Indicator Data'!H138&gt;=5,3,0)))))))))</f>
        <v>10</v>
      </c>
      <c r="W136" s="6">
        <f t="shared" si="46"/>
        <v>10</v>
      </c>
      <c r="X136" s="4">
        <f>IF('Indicator Data'!K138="No data","x",IF('Indicator Data'!K138&gt;X$149,0,IF('Indicator Data'!K138&lt;X$150,10,(X$149-'Indicator Data'!K138)/(X$149-X$150)*10)))</f>
        <v>3.7441467521984673</v>
      </c>
      <c r="Y136" s="6">
        <f t="shared" si="47"/>
        <v>6.8720733760992339</v>
      </c>
      <c r="Z136" s="7">
        <f t="shared" si="48"/>
        <v>7.8355684282254945</v>
      </c>
      <c r="AA136" s="139">
        <f t="shared" si="49"/>
        <v>10</v>
      </c>
    </row>
    <row r="137" spans="1:27" x14ac:dyDescent="0.25">
      <c r="A137" s="16" t="s">
        <v>556</v>
      </c>
      <c r="B137" s="11" t="s">
        <v>579</v>
      </c>
      <c r="C137" s="16" t="s">
        <v>557</v>
      </c>
      <c r="D137" s="4">
        <f>IF('Indicator Data'!D139="No data","x",IF('Indicator Data'!D139=0,0,IF(LOG('Indicator Data'!D139)&gt;D$149,10,IF(LOG('Indicator Data'!D139)&lt;D$150,0,10-(D$149-LOG('Indicator Data'!D139))/(D$149-D$150)*10))))</f>
        <v>5.953500373848045</v>
      </c>
      <c r="E137" s="4">
        <f>IF('Indicator Data'!E139="No data","x",IF('Indicator Data'!E139=0,0,IF(LOG('Indicator Data'!E139)&gt;E$149,10,IF(LOG('Indicator Data'!E139)&lt;E$150,0,10-(E$149-LOG('Indicator Data'!E139))/(E$149-E$150)*10))))</f>
        <v>6.9366010571753645</v>
      </c>
      <c r="F137" s="4">
        <f>IF('Indicator Data'!F139="No data","x",IF('Indicator Data'!F139=0,0,IF(LOG('Indicator Data'!F139)&gt;F$149,10,IF(LOG('Indicator Data'!F139)&lt;F$150,0,10-(F$149-LOG('Indicator Data'!F139))/(F$149-F$150)*10))))</f>
        <v>0</v>
      </c>
      <c r="G137" s="135">
        <f t="shared" si="38"/>
        <v>5.2024507928815229</v>
      </c>
      <c r="H137" s="54">
        <f>IF('Indicator Data'!D139="No data","x",'Indicator Data'!D139/'Indicator Data'!AN139)</f>
        <v>0.21589689453213898</v>
      </c>
      <c r="I137" s="54">
        <f>IF('Indicator Data'!E139="No data","x",'Indicator Data'!E139/'Indicator Data'!$AN139)</f>
        <v>0.21318506098321952</v>
      </c>
      <c r="J137" s="54">
        <f>IF('Indicator Data'!F139="No data","x",'Indicator Data'!F139/'Indicator Data'!$AN139)</f>
        <v>0</v>
      </c>
      <c r="K137" s="4">
        <f t="shared" si="41"/>
        <v>10</v>
      </c>
      <c r="L137" s="4">
        <f t="shared" si="42"/>
        <v>10</v>
      </c>
      <c r="M137" s="4">
        <f t="shared" si="43"/>
        <v>0</v>
      </c>
      <c r="N137" s="135">
        <f t="shared" si="35"/>
        <v>7.5</v>
      </c>
      <c r="O137" s="6">
        <f t="shared" si="39"/>
        <v>8.7172275306170715</v>
      </c>
      <c r="P137" s="6">
        <f t="shared" si="40"/>
        <v>6.4919305639858766</v>
      </c>
      <c r="Q137" s="15">
        <f t="shared" si="44"/>
        <v>7.7857869965170803</v>
      </c>
      <c r="R137" s="4">
        <f>IF(VLOOKUP($B137,'Indicator Data (national)'!$B$5:$H$14,6,FALSE)="No data","x",IF(VLOOKUP($B137,'Indicator Data (national)'!$B$5:$H$14,6,FALSE)&gt;R$149,10,IF(VLOOKUP($B137,'Indicator Data (national)'!$B$5:$H$14,6,FALSE)&lt;R$150,0,10-(R$149-VLOOKUP($B137,'Indicator Data (national)'!$B$5:$H$14,6,FALSE))/(R$149-R$150)*10)))</f>
        <v>10</v>
      </c>
      <c r="S137" s="4">
        <f>IF(VLOOKUP($B137,'Indicator Data (national)'!$B$5:$H$14,7,FALSE)="No data","x",IF(VLOOKUP($B137,'Indicator Data (national)'!$B$5:$H$14,7,FALSE)&gt;S$149,10,IF(VLOOKUP($B137,'Indicator Data (national)'!$B$5:$H$14,7,FALSE)&lt;S$150,0,10-(S$149-VLOOKUP($B137,'Indicator Data (national)'!$B$5:$H$14,7,FALSE))/(S$149-S$150)*10)))</f>
        <v>10</v>
      </c>
      <c r="T137" s="138">
        <f t="shared" si="45"/>
        <v>10</v>
      </c>
      <c r="U137" s="6">
        <f>IF('Indicator Data'!G139=5,10,IF('Indicator Data'!G139=4,8,IF('Indicator Data'!G139=3,5,IF('Indicator Data'!G139=2,2,IF('Indicator Data'!G139=1,1,0)))))</f>
        <v>0</v>
      </c>
      <c r="V137" s="4">
        <f>IF('Indicator Data'!H139="No data","x",IF('Indicator Data'!H139&gt;1000,10,IF('Indicator Data'!H139&gt;=500,9,IF('Indicator Data'!H139&gt;=240,8,IF('Indicator Data'!H139&gt;=120,7,IF('Indicator Data'!H139&gt;=60,6,IF('Indicator Data'!H139&gt;=20,5,IF('Indicator Data'!H139&gt;=10,4,IF('Indicator Data'!H139&gt;=5,3,0)))))))))</f>
        <v>10</v>
      </c>
      <c r="W137" s="6">
        <f t="shared" si="46"/>
        <v>10</v>
      </c>
      <c r="X137" s="4">
        <f>IF('Indicator Data'!K139="No data","x",IF('Indicator Data'!K139&gt;X$149,0,IF('Indicator Data'!K139&lt;X$150,10,(X$149-'Indicator Data'!K139)/(X$149-X$150)*10)))</f>
        <v>3.7441467521984673</v>
      </c>
      <c r="Y137" s="6">
        <f t="shared" si="47"/>
        <v>1.8720733760992336</v>
      </c>
      <c r="Z137" s="7">
        <f t="shared" si="48"/>
        <v>4.5355684282254947</v>
      </c>
      <c r="AA137" s="139">
        <f t="shared" si="49"/>
        <v>10</v>
      </c>
    </row>
    <row r="138" spans="1:27" x14ac:dyDescent="0.25">
      <c r="A138" s="16" t="s">
        <v>558</v>
      </c>
      <c r="B138" s="11" t="s">
        <v>579</v>
      </c>
      <c r="C138" s="16" t="s">
        <v>559</v>
      </c>
      <c r="D138" s="4">
        <f>IF('Indicator Data'!D140="No data","x",IF('Indicator Data'!D140=0,0,IF(LOG('Indicator Data'!D140)&gt;D$149,10,IF(LOG('Indicator Data'!D140)&lt;D$150,0,10-(D$149-LOG('Indicator Data'!D140))/(D$149-D$150)*10))))</f>
        <v>7.2808109343559488</v>
      </c>
      <c r="E138" s="4">
        <f>IF('Indicator Data'!E140="No data","x",IF('Indicator Data'!E140=0,0,IF(LOG('Indicator Data'!E140)&gt;E$149,10,IF(LOG('Indicator Data'!E140)&lt;E$150,0,10-(E$149-LOG('Indicator Data'!E140))/(E$149-E$150)*10))))</f>
        <v>0</v>
      </c>
      <c r="F138" s="4">
        <f>IF('Indicator Data'!F140="No data","x",IF('Indicator Data'!F140=0,0,IF(LOG('Indicator Data'!F140)&gt;F$149,10,IF(LOG('Indicator Data'!F140)&lt;F$150,0,10-(F$149-LOG('Indicator Data'!F140))/(F$149-F$150)*10))))</f>
        <v>7.2844721587287093</v>
      </c>
      <c r="G138" s="135">
        <f t="shared" si="38"/>
        <v>1.8211180396821773</v>
      </c>
      <c r="H138" s="54">
        <f>IF('Indicator Data'!D140="No data","x",'Indicator Data'!D140/'Indicator Data'!AN140)</f>
        <v>0.73794996534808188</v>
      </c>
      <c r="I138" s="54">
        <f>IF('Indicator Data'!E140="No data","x",'Indicator Data'!E140/'Indicator Data'!$AN140)</f>
        <v>0</v>
      </c>
      <c r="J138" s="54">
        <f>IF('Indicator Data'!F140="No data","x",'Indicator Data'!F140/'Indicator Data'!$AN140)</f>
        <v>0.13872111084655256</v>
      </c>
      <c r="K138" s="4">
        <f t="shared" si="41"/>
        <v>10</v>
      </c>
      <c r="L138" s="4">
        <f t="shared" si="42"/>
        <v>0</v>
      </c>
      <c r="M138" s="4">
        <f t="shared" si="43"/>
        <v>6.9360555423276278</v>
      </c>
      <c r="N138" s="135">
        <f t="shared" si="35"/>
        <v>1.7340138855819069</v>
      </c>
      <c r="O138" s="6">
        <f t="shared" si="39"/>
        <v>9.0481304797712241</v>
      </c>
      <c r="P138" s="6">
        <f t="shared" si="40"/>
        <v>1.7776675742763932</v>
      </c>
      <c r="Q138" s="15">
        <f t="shared" si="44"/>
        <v>6.7230918267192932</v>
      </c>
      <c r="R138" s="4">
        <f>IF(VLOOKUP($B138,'Indicator Data (national)'!$B$5:$H$14,6,FALSE)="No data","x",IF(VLOOKUP($B138,'Indicator Data (national)'!$B$5:$H$14,6,FALSE)&gt;R$149,10,IF(VLOOKUP($B138,'Indicator Data (national)'!$B$5:$H$14,6,FALSE)&lt;R$150,0,10-(R$149-VLOOKUP($B138,'Indicator Data (national)'!$B$5:$H$14,6,FALSE))/(R$149-R$150)*10)))</f>
        <v>10</v>
      </c>
      <c r="S138" s="4">
        <f>IF(VLOOKUP($B138,'Indicator Data (national)'!$B$5:$H$14,7,FALSE)="No data","x",IF(VLOOKUP($B138,'Indicator Data (national)'!$B$5:$H$14,7,FALSE)&gt;S$149,10,IF(VLOOKUP($B138,'Indicator Data (national)'!$B$5:$H$14,7,FALSE)&lt;S$150,0,10-(S$149-VLOOKUP($B138,'Indicator Data (national)'!$B$5:$H$14,7,FALSE))/(S$149-S$150)*10)))</f>
        <v>10</v>
      </c>
      <c r="T138" s="138">
        <f t="shared" si="45"/>
        <v>10</v>
      </c>
      <c r="U138" s="6">
        <f>IF('Indicator Data'!G140=5,10,IF('Indicator Data'!G140=4,8,IF('Indicator Data'!G140=3,5,IF('Indicator Data'!G140=2,2,IF('Indicator Data'!G140=1,1,0)))))</f>
        <v>0</v>
      </c>
      <c r="V138" s="4">
        <f>IF('Indicator Data'!H140="No data","x",IF('Indicator Data'!H140&gt;1000,10,IF('Indicator Data'!H140&gt;=500,9,IF('Indicator Data'!H140&gt;=240,8,IF('Indicator Data'!H140&gt;=120,7,IF('Indicator Data'!H140&gt;=60,6,IF('Indicator Data'!H140&gt;=20,5,IF('Indicator Data'!H140&gt;=10,4,IF('Indicator Data'!H140&gt;=5,3,0)))))))))</f>
        <v>0</v>
      </c>
      <c r="W138" s="6">
        <f t="shared" si="46"/>
        <v>0</v>
      </c>
      <c r="X138" s="4">
        <f>IF('Indicator Data'!K140="No data","x",IF('Indicator Data'!K140&gt;X$149,0,IF('Indicator Data'!K140&lt;X$150,10,(X$149-'Indicator Data'!K140)/(X$149-X$150)*10)))</f>
        <v>3.7441467521984673</v>
      </c>
      <c r="Y138" s="6">
        <f t="shared" si="47"/>
        <v>1.8720733760992336</v>
      </c>
      <c r="Z138" s="7">
        <f t="shared" si="48"/>
        <v>1.2355684282254942</v>
      </c>
      <c r="AA138" s="139">
        <f t="shared" si="49"/>
        <v>5</v>
      </c>
    </row>
    <row r="139" spans="1:27" x14ac:dyDescent="0.25">
      <c r="A139" s="16" t="s">
        <v>561</v>
      </c>
      <c r="B139" s="11" t="s">
        <v>581</v>
      </c>
      <c r="C139" s="126" t="s">
        <v>607</v>
      </c>
      <c r="D139" s="4">
        <f>IF('Indicator Data'!D141="No data","x",IF('Indicator Data'!D141=0,0,IF(LOG('Indicator Data'!D141)&gt;D$149,10,IF(LOG('Indicator Data'!D141)&lt;D$150,0,10-(D$149-LOG('Indicator Data'!D141))/(D$149-D$150)*10))))</f>
        <v>6.7944268606357232</v>
      </c>
      <c r="E139" s="4">
        <f>IF('Indicator Data'!E141="No data","x",IF('Indicator Data'!E141=0,0,IF(LOG('Indicator Data'!E141)&gt;E$149,10,IF(LOG('Indicator Data'!E141)&lt;E$150,0,10-(E$149-LOG('Indicator Data'!E141))/(E$149-E$150)*10))))</f>
        <v>0</v>
      </c>
      <c r="F139" s="4">
        <f>IF('Indicator Data'!F141="No data","x",IF('Indicator Data'!F141=0,0,IF(LOG('Indicator Data'!F141)&gt;F$149,10,IF(LOG('Indicator Data'!F141)&lt;F$150,0,10-(F$149-LOG('Indicator Data'!F141))/(F$149-F$150)*10))))</f>
        <v>8.0139471951142358</v>
      </c>
      <c r="G139" s="135">
        <f t="shared" si="38"/>
        <v>2.003486798778559</v>
      </c>
      <c r="H139" s="54">
        <f>IF('Indicator Data'!D141="No data","x",'Indicator Data'!D141/'Indicator Data'!AN141)</f>
        <v>0.14296984816156591</v>
      </c>
      <c r="I139" s="54">
        <f>IF('Indicator Data'!E141="No data","x",'Indicator Data'!E141/'Indicator Data'!$AN141)</f>
        <v>0</v>
      </c>
      <c r="J139" s="54">
        <f>IF('Indicator Data'!F141="No data","x",'Indicator Data'!F141/'Indicator Data'!$AN141)</f>
        <v>0.16125528997764052</v>
      </c>
      <c r="K139" s="4">
        <f t="shared" si="41"/>
        <v>7.1484924080782957</v>
      </c>
      <c r="L139" s="4">
        <f t="shared" si="42"/>
        <v>0</v>
      </c>
      <c r="M139" s="4">
        <f t="shared" si="43"/>
        <v>8.0627644988820251</v>
      </c>
      <c r="N139" s="135">
        <f t="shared" si="35"/>
        <v>2.0156911247205063</v>
      </c>
      <c r="O139" s="6">
        <f t="shared" si="39"/>
        <v>6.9752467823376252</v>
      </c>
      <c r="P139" s="6">
        <f t="shared" si="40"/>
        <v>2.0095910073632499</v>
      </c>
      <c r="Q139" s="15">
        <f t="shared" si="44"/>
        <v>4.9757502957469866</v>
      </c>
      <c r="R139" s="4">
        <f>IF(VLOOKUP($B139,'Indicator Data (national)'!$B$5:$H$14,6,FALSE)="No data","x",IF(VLOOKUP($B139,'Indicator Data (national)'!$B$5:$H$14,6,FALSE)&gt;R$149,10,IF(VLOOKUP($B139,'Indicator Data (national)'!$B$5:$H$14,6,FALSE)&lt;R$150,0,10-(R$149-VLOOKUP($B139,'Indicator Data (national)'!$B$5:$H$14,6,FALSE))/(R$149-R$150)*10)))</f>
        <v>6.7298103858742149</v>
      </c>
      <c r="S139" s="4">
        <f>IF(VLOOKUP($B139,'Indicator Data (national)'!$B$5:$H$14,7,FALSE)="No data","x",IF(VLOOKUP($B139,'Indicator Data (national)'!$B$5:$H$14,7,FALSE)&gt;S$149,10,IF(VLOOKUP($B139,'Indicator Data (national)'!$B$5:$H$14,7,FALSE)&lt;S$150,0,10-(S$149-VLOOKUP($B139,'Indicator Data (national)'!$B$5:$H$14,7,FALSE))/(S$149-S$150)*10)))</f>
        <v>3.1340186731130126</v>
      </c>
      <c r="T139" s="138">
        <f t="shared" si="45"/>
        <v>5.1992551517796564</v>
      </c>
      <c r="U139" s="6">
        <f>IF('Indicator Data'!G141=5,10,IF('Indicator Data'!G141=4,8,IF('Indicator Data'!G141=3,5,IF('Indicator Data'!G141=2,2,IF('Indicator Data'!G141=1,1,0)))))</f>
        <v>5</v>
      </c>
      <c r="V139" s="4">
        <f>IF('Indicator Data'!H141="No data","x",IF('Indicator Data'!H141&gt;1000,10,IF('Indicator Data'!H141&gt;=500,9,IF('Indicator Data'!H141&gt;=240,8,IF('Indicator Data'!H141&gt;=120,7,IF('Indicator Data'!H141&gt;=60,6,IF('Indicator Data'!H141&gt;=20,5,IF('Indicator Data'!H141&gt;=10,4,IF('Indicator Data'!H141&gt;=5,3,0)))))))))</f>
        <v>3</v>
      </c>
      <c r="W139" s="6">
        <f t="shared" si="46"/>
        <v>5</v>
      </c>
      <c r="X139" s="4">
        <f>IF('Indicator Data'!K141="No data","x",IF('Indicator Data'!K141&gt;X$149,0,IF('Indicator Data'!K141&lt;X$150,10,(X$149-'Indicator Data'!K141)/(X$149-X$150)*10)))</f>
        <v>3.9428895307242549</v>
      </c>
      <c r="Y139" s="6">
        <f t="shared" si="47"/>
        <v>4.4714447653621274</v>
      </c>
      <c r="Z139" s="7">
        <f t="shared" si="48"/>
        <v>4.6011535451390042</v>
      </c>
      <c r="AA139" s="139">
        <f t="shared" si="49"/>
        <v>5.0996275758898282</v>
      </c>
    </row>
    <row r="140" spans="1:27" x14ac:dyDescent="0.25">
      <c r="A140" s="16" t="s">
        <v>562</v>
      </c>
      <c r="B140" s="11" t="s">
        <v>581</v>
      </c>
      <c r="C140" s="126" t="s">
        <v>608</v>
      </c>
      <c r="D140" s="4">
        <f>IF('Indicator Data'!D142="No data","x",IF('Indicator Data'!D142=0,0,IF(LOG('Indicator Data'!D142)&gt;D$149,10,IF(LOG('Indicator Data'!D142)&lt;D$150,0,10-(D$149-LOG('Indicator Data'!D142))/(D$149-D$150)*10))))</f>
        <v>7.2101444497694169</v>
      </c>
      <c r="E140" s="4">
        <f>IF('Indicator Data'!E142="No data","x",IF('Indicator Data'!E142=0,0,IF(LOG('Indicator Data'!E142)&gt;E$149,10,IF(LOG('Indicator Data'!E142)&lt;E$150,0,10-(E$149-LOG('Indicator Data'!E142))/(E$149-E$150)*10))))</f>
        <v>0</v>
      </c>
      <c r="F140" s="4">
        <f>IF('Indicator Data'!F142="No data","x",IF('Indicator Data'!F142=0,0,IF(LOG('Indicator Data'!F142)&gt;F$149,10,IF(LOG('Indicator Data'!F142)&lt;F$150,0,10-(F$149-LOG('Indicator Data'!F142))/(F$149-F$150)*10))))</f>
        <v>8.9061948700708413</v>
      </c>
      <c r="G140" s="135">
        <f t="shared" si="38"/>
        <v>2.2265487175177103</v>
      </c>
      <c r="H140" s="54">
        <f>IF('Indicator Data'!D142="No data","x",'Indicator Data'!D142/'Indicator Data'!AN142)</f>
        <v>0.29763005028622641</v>
      </c>
      <c r="I140" s="54">
        <f>IF('Indicator Data'!E142="No data","x",'Indicator Data'!E142/'Indicator Data'!$AN142)</f>
        <v>0</v>
      </c>
      <c r="J140" s="54">
        <f>IF('Indicator Data'!F142="No data","x",'Indicator Data'!F142/'Indicator Data'!$AN142)</f>
        <v>0.58924049399120848</v>
      </c>
      <c r="K140" s="4">
        <f t="shared" si="41"/>
        <v>10</v>
      </c>
      <c r="L140" s="4">
        <f t="shared" si="42"/>
        <v>0</v>
      </c>
      <c r="M140" s="4">
        <f t="shared" si="43"/>
        <v>10</v>
      </c>
      <c r="N140" s="135">
        <f t="shared" si="35"/>
        <v>2.5</v>
      </c>
      <c r="O140" s="6">
        <f t="shared" si="39"/>
        <v>9.0291871448023588</v>
      </c>
      <c r="P140" s="6">
        <f t="shared" si="40"/>
        <v>2.3643429110939143</v>
      </c>
      <c r="Q140" s="15">
        <f t="shared" si="44"/>
        <v>6.8437809922472015</v>
      </c>
      <c r="R140" s="4">
        <f>IF(VLOOKUP($B140,'Indicator Data (national)'!$B$5:$H$14,6,FALSE)="No data","x",IF(VLOOKUP($B140,'Indicator Data (national)'!$B$5:$H$14,6,FALSE)&gt;R$149,10,IF(VLOOKUP($B140,'Indicator Data (national)'!$B$5:$H$14,6,FALSE)&lt;R$150,0,10-(R$149-VLOOKUP($B140,'Indicator Data (national)'!$B$5:$H$14,6,FALSE))/(R$149-R$150)*10)))</f>
        <v>6.7298103858742149</v>
      </c>
      <c r="S140" s="4">
        <f>IF(VLOOKUP($B140,'Indicator Data (national)'!$B$5:$H$14,7,FALSE)="No data","x",IF(VLOOKUP($B140,'Indicator Data (national)'!$B$5:$H$14,7,FALSE)&gt;S$149,10,IF(VLOOKUP($B140,'Indicator Data (national)'!$B$5:$H$14,7,FALSE)&lt;S$150,0,10-(S$149-VLOOKUP($B140,'Indicator Data (national)'!$B$5:$H$14,7,FALSE))/(S$149-S$150)*10)))</f>
        <v>3.1340186731130126</v>
      </c>
      <c r="T140" s="138">
        <f t="shared" si="45"/>
        <v>5.1992551517796564</v>
      </c>
      <c r="U140" s="6">
        <f>IF('Indicator Data'!G142=5,10,IF('Indicator Data'!G142=4,8,IF('Indicator Data'!G142=3,5,IF('Indicator Data'!G142=2,2,IF('Indicator Data'!G142=1,1,0)))))</f>
        <v>5</v>
      </c>
      <c r="V140" s="4">
        <f>IF('Indicator Data'!H142="No data","x",IF('Indicator Data'!H142&gt;1000,10,IF('Indicator Data'!H142&gt;=500,9,IF('Indicator Data'!H142&gt;=240,8,IF('Indicator Data'!H142&gt;=120,7,IF('Indicator Data'!H142&gt;=60,6,IF('Indicator Data'!H142&gt;=20,5,IF('Indicator Data'!H142&gt;=10,4,IF('Indicator Data'!H142&gt;=5,3,0)))))))))</f>
        <v>3</v>
      </c>
      <c r="W140" s="6">
        <f t="shared" si="46"/>
        <v>5</v>
      </c>
      <c r="X140" s="4">
        <f>IF('Indicator Data'!K142="No data","x",IF('Indicator Data'!K142&gt;X$149,0,IF('Indicator Data'!K142&lt;X$150,10,(X$149-'Indicator Data'!K142)/(X$149-X$150)*10)))</f>
        <v>3.9428895307242549</v>
      </c>
      <c r="Y140" s="6">
        <f t="shared" si="47"/>
        <v>4.4714447653621274</v>
      </c>
      <c r="Z140" s="7">
        <f t="shared" si="48"/>
        <v>4.6011535451390042</v>
      </c>
      <c r="AA140" s="139">
        <f t="shared" si="49"/>
        <v>5.0996275758898282</v>
      </c>
    </row>
    <row r="141" spans="1:27" x14ac:dyDescent="0.25">
      <c r="A141" s="16" t="s">
        <v>563</v>
      </c>
      <c r="B141" s="11" t="s">
        <v>581</v>
      </c>
      <c r="C141" s="126" t="s">
        <v>609</v>
      </c>
      <c r="D141" s="4">
        <f>IF('Indicator Data'!D143="No data","x",IF('Indicator Data'!D143=0,0,IF(LOG('Indicator Data'!D143)&gt;D$149,10,IF(LOG('Indicator Data'!D143)&lt;D$150,0,10-(D$149-LOG('Indicator Data'!D143))/(D$149-D$150)*10))))</f>
        <v>7.4127252601471936</v>
      </c>
      <c r="E141" s="4">
        <f>IF('Indicator Data'!E143="No data","x",IF('Indicator Data'!E143=0,0,IF(LOG('Indicator Data'!E143)&gt;E$149,10,IF(LOG('Indicator Data'!E143)&lt;E$150,0,10-(E$149-LOG('Indicator Data'!E143))/(E$149-E$150)*10))))</f>
        <v>0</v>
      </c>
      <c r="F141" s="4">
        <f>IF('Indicator Data'!F143="No data","x",IF('Indicator Data'!F143=0,0,IF(LOG('Indicator Data'!F143)&gt;F$149,10,IF(LOG('Indicator Data'!F143)&lt;F$150,0,10-(F$149-LOG('Indicator Data'!F143))/(F$149-F$150)*10))))</f>
        <v>6.7324163552435845</v>
      </c>
      <c r="G141" s="135">
        <f t="shared" si="38"/>
        <v>1.6831040888108961</v>
      </c>
      <c r="H141" s="54">
        <f>IF('Indicator Data'!D143="No data","x",'Indicator Data'!D143/'Indicator Data'!AN143)</f>
        <v>0.38920934066543122</v>
      </c>
      <c r="I141" s="54">
        <f>IF('Indicator Data'!E143="No data","x",'Indicator Data'!E143/'Indicator Data'!$AN143)</f>
        <v>0</v>
      </c>
      <c r="J141" s="54">
        <f>IF('Indicator Data'!F143="No data","x",'Indicator Data'!F143/'Indicator Data'!$AN143)</f>
        <v>2.7588328299821937E-2</v>
      </c>
      <c r="K141" s="4">
        <f t="shared" si="41"/>
        <v>10</v>
      </c>
      <c r="L141" s="4">
        <f t="shared" si="42"/>
        <v>0</v>
      </c>
      <c r="M141" s="4">
        <f t="shared" si="43"/>
        <v>1.3794164149910966</v>
      </c>
      <c r="N141" s="135">
        <f t="shared" si="35"/>
        <v>0.34485410374777414</v>
      </c>
      <c r="O141" s="6">
        <f t="shared" si="39"/>
        <v>9.0839659233699539</v>
      </c>
      <c r="P141" s="6">
        <f t="shared" si="40"/>
        <v>1.0361745520398615</v>
      </c>
      <c r="Q141" s="15">
        <f t="shared" si="44"/>
        <v>6.5918900319295748</v>
      </c>
      <c r="R141" s="4">
        <f>IF(VLOOKUP($B141,'Indicator Data (national)'!$B$5:$H$14,6,FALSE)="No data","x",IF(VLOOKUP($B141,'Indicator Data (national)'!$B$5:$H$14,6,FALSE)&gt;R$149,10,IF(VLOOKUP($B141,'Indicator Data (national)'!$B$5:$H$14,6,FALSE)&lt;R$150,0,10-(R$149-VLOOKUP($B141,'Indicator Data (national)'!$B$5:$H$14,6,FALSE))/(R$149-R$150)*10)))</f>
        <v>6.7298103858742149</v>
      </c>
      <c r="S141" s="4">
        <f>IF(VLOOKUP($B141,'Indicator Data (national)'!$B$5:$H$14,7,FALSE)="No data","x",IF(VLOOKUP($B141,'Indicator Data (national)'!$B$5:$H$14,7,FALSE)&gt;S$149,10,IF(VLOOKUP($B141,'Indicator Data (national)'!$B$5:$H$14,7,FALSE)&lt;S$150,0,10-(S$149-VLOOKUP($B141,'Indicator Data (national)'!$B$5:$H$14,7,FALSE))/(S$149-S$150)*10)))</f>
        <v>3.1340186731130126</v>
      </c>
      <c r="T141" s="138">
        <f t="shared" si="45"/>
        <v>5.1992551517796564</v>
      </c>
      <c r="U141" s="6">
        <f>IF('Indicator Data'!G143=5,10,IF('Indicator Data'!G143=4,8,IF('Indicator Data'!G143=3,5,IF('Indicator Data'!G143=2,2,IF('Indicator Data'!G143=1,1,0)))))</f>
        <v>5</v>
      </c>
      <c r="V141" s="4">
        <f>IF('Indicator Data'!H143="No data","x",IF('Indicator Data'!H143&gt;1000,10,IF('Indicator Data'!H143&gt;=500,9,IF('Indicator Data'!H143&gt;=240,8,IF('Indicator Data'!H143&gt;=120,7,IF('Indicator Data'!H143&gt;=60,6,IF('Indicator Data'!H143&gt;=20,5,IF('Indicator Data'!H143&gt;=10,4,IF('Indicator Data'!H143&gt;=5,3,0)))))))))</f>
        <v>0</v>
      </c>
      <c r="W141" s="6">
        <f t="shared" si="46"/>
        <v>5</v>
      </c>
      <c r="X141" s="4">
        <f>IF('Indicator Data'!K143="No data","x",IF('Indicator Data'!K143&gt;X$149,0,IF('Indicator Data'!K143&lt;X$150,10,(X$149-'Indicator Data'!K143)/(X$149-X$150)*10)))</f>
        <v>3.9428895307242549</v>
      </c>
      <c r="Y141" s="6">
        <f t="shared" si="47"/>
        <v>4.4714447653621274</v>
      </c>
      <c r="Z141" s="7">
        <f t="shared" si="48"/>
        <v>4.6011535451390042</v>
      </c>
      <c r="AA141" s="139">
        <f t="shared" si="49"/>
        <v>5.0996275758898282</v>
      </c>
    </row>
    <row r="142" spans="1:27" x14ac:dyDescent="0.25">
      <c r="A142" s="16" t="s">
        <v>564</v>
      </c>
      <c r="B142" s="11" t="s">
        <v>581</v>
      </c>
      <c r="C142" s="126" t="s">
        <v>610</v>
      </c>
      <c r="D142" s="4">
        <f>IF('Indicator Data'!D144="No data","x",IF('Indicator Data'!D144=0,0,IF(LOG('Indicator Data'!D144)&gt;D$149,10,IF(LOG('Indicator Data'!D144)&lt;D$150,0,10-(D$149-LOG('Indicator Data'!D144))/(D$149-D$150)*10))))</f>
        <v>7.1930586379511841</v>
      </c>
      <c r="E142" s="4">
        <f>IF('Indicator Data'!E144="No data","x",IF('Indicator Data'!E144=0,0,IF(LOG('Indicator Data'!E144)&gt;E$149,10,IF(LOG('Indicator Data'!E144)&lt;E$150,0,10-(E$149-LOG('Indicator Data'!E144))/(E$149-E$150)*10))))</f>
        <v>0</v>
      </c>
      <c r="F142" s="4">
        <f>IF('Indicator Data'!F144="No data","x",IF('Indicator Data'!F144=0,0,IF(LOG('Indicator Data'!F144)&gt;F$149,10,IF(LOG('Indicator Data'!F144)&lt;F$150,0,10-(F$149-LOG('Indicator Data'!F144))/(F$149-F$150)*10))))</f>
        <v>9.0085641178604821</v>
      </c>
      <c r="G142" s="135">
        <f t="shared" si="38"/>
        <v>2.2521410294651205</v>
      </c>
      <c r="H142" s="54">
        <f>IF('Indicator Data'!D144="No data","x",'Indicator Data'!D144/'Indicator Data'!AN144)</f>
        <v>0.22026434671250669</v>
      </c>
      <c r="I142" s="54">
        <f>IF('Indicator Data'!E144="No data","x",'Indicator Data'!E144/'Indicator Data'!$AN144)</f>
        <v>1.2188616401083487E-6</v>
      </c>
      <c r="J142" s="54">
        <f>IF('Indicator Data'!F144="No data","x",'Indicator Data'!F144/'Indicator Data'!$AN144)</f>
        <v>0.51634696602991981</v>
      </c>
      <c r="K142" s="4">
        <f t="shared" si="41"/>
        <v>10</v>
      </c>
      <c r="L142" s="4">
        <f t="shared" si="42"/>
        <v>6.0943082004882854E-5</v>
      </c>
      <c r="M142" s="4">
        <f t="shared" si="43"/>
        <v>10</v>
      </c>
      <c r="N142" s="135">
        <f t="shared" si="35"/>
        <v>2.5000457073115037</v>
      </c>
      <c r="O142" s="6">
        <f t="shared" si="39"/>
        <v>9.024632825375944</v>
      </c>
      <c r="P142" s="6">
        <f t="shared" si="40"/>
        <v>2.3769728718022343</v>
      </c>
      <c r="Q142" s="15">
        <f t="shared" si="44"/>
        <v>6.8422014399038193</v>
      </c>
      <c r="R142" s="4">
        <f>IF(VLOOKUP($B142,'Indicator Data (national)'!$B$5:$H$14,6,FALSE)="No data","x",IF(VLOOKUP($B142,'Indicator Data (national)'!$B$5:$H$14,6,FALSE)&gt;R$149,10,IF(VLOOKUP($B142,'Indicator Data (national)'!$B$5:$H$14,6,FALSE)&lt;R$150,0,10-(R$149-VLOOKUP($B142,'Indicator Data (national)'!$B$5:$H$14,6,FALSE))/(R$149-R$150)*10)))</f>
        <v>6.7298103858742149</v>
      </c>
      <c r="S142" s="4">
        <f>IF(VLOOKUP($B142,'Indicator Data (national)'!$B$5:$H$14,7,FALSE)="No data","x",IF(VLOOKUP($B142,'Indicator Data (national)'!$B$5:$H$14,7,FALSE)&gt;S$149,10,IF(VLOOKUP($B142,'Indicator Data (national)'!$B$5:$H$14,7,FALSE)&lt;S$150,0,10-(S$149-VLOOKUP($B142,'Indicator Data (national)'!$B$5:$H$14,7,FALSE))/(S$149-S$150)*10)))</f>
        <v>3.1340186731130126</v>
      </c>
      <c r="T142" s="138">
        <f t="shared" si="45"/>
        <v>5.1992551517796564</v>
      </c>
      <c r="U142" s="6">
        <f>IF('Indicator Data'!G144=5,10,IF('Indicator Data'!G144=4,8,IF('Indicator Data'!G144=3,5,IF('Indicator Data'!G144=2,2,IF('Indicator Data'!G144=1,1,0)))))</f>
        <v>5</v>
      </c>
      <c r="V142" s="4">
        <f>IF('Indicator Data'!H144="No data","x",IF('Indicator Data'!H144&gt;1000,10,IF('Indicator Data'!H144&gt;=500,9,IF('Indicator Data'!H144&gt;=240,8,IF('Indicator Data'!H144&gt;=120,7,IF('Indicator Data'!H144&gt;=60,6,IF('Indicator Data'!H144&gt;=20,5,IF('Indicator Data'!H144&gt;=10,4,IF('Indicator Data'!H144&gt;=5,3,0)))))))))</f>
        <v>3</v>
      </c>
      <c r="W142" s="6">
        <f t="shared" si="46"/>
        <v>5</v>
      </c>
      <c r="X142" s="4">
        <f>IF('Indicator Data'!K144="No data","x",IF('Indicator Data'!K144&gt;X$149,0,IF('Indicator Data'!K144&lt;X$150,10,(X$149-'Indicator Data'!K144)/(X$149-X$150)*10)))</f>
        <v>3.9428895307242549</v>
      </c>
      <c r="Y142" s="6">
        <f t="shared" si="47"/>
        <v>4.4714447653621274</v>
      </c>
      <c r="Z142" s="7">
        <f t="shared" si="48"/>
        <v>4.6011535451390042</v>
      </c>
      <c r="AA142" s="139">
        <f t="shared" si="49"/>
        <v>5.0996275758898282</v>
      </c>
    </row>
    <row r="143" spans="1:27" x14ac:dyDescent="0.25">
      <c r="A143" s="16" t="s">
        <v>565</v>
      </c>
      <c r="B143" s="11" t="s">
        <v>581</v>
      </c>
      <c r="C143" s="126" t="s">
        <v>611</v>
      </c>
      <c r="D143" s="4">
        <f>IF('Indicator Data'!D145="No data","x",IF('Indicator Data'!D145=0,0,IF(LOG('Indicator Data'!D145)&gt;D$149,10,IF(LOG('Indicator Data'!D145)&lt;D$150,0,10-(D$149-LOG('Indicator Data'!D145))/(D$149-D$150)*10))))</f>
        <v>6.8257359287464183</v>
      </c>
      <c r="E143" s="4">
        <f>IF('Indicator Data'!E145="No data","x",IF('Indicator Data'!E145=0,0,IF(LOG('Indicator Data'!E145)&gt;E$149,10,IF(LOG('Indicator Data'!E145)&lt;E$150,0,10-(E$149-LOG('Indicator Data'!E145))/(E$149-E$150)*10))))</f>
        <v>0</v>
      </c>
      <c r="F143" s="4">
        <f>IF('Indicator Data'!F145="No data","x",IF('Indicator Data'!F145=0,0,IF(LOG('Indicator Data'!F145)&gt;F$149,10,IF(LOG('Indicator Data'!F145)&lt;F$150,0,10-(F$149-LOG('Indicator Data'!F145))/(F$149-F$150)*10))))</f>
        <v>0</v>
      </c>
      <c r="G143" s="135">
        <f t="shared" si="38"/>
        <v>0</v>
      </c>
      <c r="H143" s="54">
        <f>IF('Indicator Data'!D145="No data","x",'Indicator Data'!D145/'Indicator Data'!AN145)</f>
        <v>0.35419402688939067</v>
      </c>
      <c r="I143" s="54">
        <f>IF('Indicator Data'!E145="No data","x",'Indicator Data'!E145/'Indicator Data'!$AN145)</f>
        <v>0</v>
      </c>
      <c r="J143" s="54">
        <f>IF('Indicator Data'!F145="No data","x",'Indicator Data'!F145/'Indicator Data'!$AN145)</f>
        <v>0</v>
      </c>
      <c r="K143" s="4">
        <f t="shared" si="41"/>
        <v>10</v>
      </c>
      <c r="L143" s="4">
        <f t="shared" si="42"/>
        <v>0</v>
      </c>
      <c r="M143" s="4">
        <f t="shared" si="43"/>
        <v>0</v>
      </c>
      <c r="N143" s="135">
        <f t="shared" si="35"/>
        <v>0</v>
      </c>
      <c r="O143" s="6">
        <f t="shared" si="39"/>
        <v>8.9290185419460872</v>
      </c>
      <c r="P143" s="6">
        <f t="shared" si="40"/>
        <v>0</v>
      </c>
      <c r="Q143" s="15">
        <f t="shared" si="44"/>
        <v>6.1871418798178768</v>
      </c>
      <c r="R143" s="4">
        <f>IF(VLOOKUP($B143,'Indicator Data (national)'!$B$5:$H$14,6,FALSE)="No data","x",IF(VLOOKUP($B143,'Indicator Data (national)'!$B$5:$H$14,6,FALSE)&gt;R$149,10,IF(VLOOKUP($B143,'Indicator Data (national)'!$B$5:$H$14,6,FALSE)&lt;R$150,0,10-(R$149-VLOOKUP($B143,'Indicator Data (national)'!$B$5:$H$14,6,FALSE))/(R$149-R$150)*10)))</f>
        <v>6.7298103858742149</v>
      </c>
      <c r="S143" s="4">
        <f>IF(VLOOKUP($B143,'Indicator Data (national)'!$B$5:$H$14,7,FALSE)="No data","x",IF(VLOOKUP($B143,'Indicator Data (national)'!$B$5:$H$14,7,FALSE)&gt;S$149,10,IF(VLOOKUP($B143,'Indicator Data (national)'!$B$5:$H$14,7,FALSE)&lt;S$150,0,10-(S$149-VLOOKUP($B143,'Indicator Data (national)'!$B$5:$H$14,7,FALSE))/(S$149-S$150)*10)))</f>
        <v>3.1340186731130126</v>
      </c>
      <c r="T143" s="138">
        <f t="shared" si="45"/>
        <v>5.1992551517796564</v>
      </c>
      <c r="U143" s="6">
        <f>IF('Indicator Data'!G145=5,10,IF('Indicator Data'!G145=4,8,IF('Indicator Data'!G145=3,5,IF('Indicator Data'!G145=2,2,IF('Indicator Data'!G145=1,1,0)))))</f>
        <v>5</v>
      </c>
      <c r="V143" s="4">
        <f>IF('Indicator Data'!H145="No data","x",IF('Indicator Data'!H145&gt;1000,10,IF('Indicator Data'!H145&gt;=500,9,IF('Indicator Data'!H145&gt;=240,8,IF('Indicator Data'!H145&gt;=120,7,IF('Indicator Data'!H145&gt;=60,6,IF('Indicator Data'!H145&gt;=20,5,IF('Indicator Data'!H145&gt;=10,4,IF('Indicator Data'!H145&gt;=5,3,0)))))))))</f>
        <v>4</v>
      </c>
      <c r="W143" s="6">
        <f t="shared" si="46"/>
        <v>5</v>
      </c>
      <c r="X143" s="4">
        <f>IF('Indicator Data'!K145="No data","x",IF('Indicator Data'!K145&gt;X$149,0,IF('Indicator Data'!K145&lt;X$150,10,(X$149-'Indicator Data'!K145)/(X$149-X$150)*10)))</f>
        <v>3.9428895307242549</v>
      </c>
      <c r="Y143" s="6">
        <f t="shared" si="47"/>
        <v>4.4714447653621274</v>
      </c>
      <c r="Z143" s="7">
        <f t="shared" si="48"/>
        <v>4.6011535451390042</v>
      </c>
      <c r="AA143" s="139">
        <f t="shared" si="49"/>
        <v>5.0996275758898282</v>
      </c>
    </row>
    <row r="144" spans="1:27" x14ac:dyDescent="0.25">
      <c r="A144" s="16" t="s">
        <v>566</v>
      </c>
      <c r="B144" s="11" t="s">
        <v>581</v>
      </c>
      <c r="C144" s="126" t="s">
        <v>612</v>
      </c>
      <c r="D144" s="4">
        <f>IF('Indicator Data'!D146="No data","x",IF('Indicator Data'!D146=0,0,IF(LOG('Indicator Data'!D146)&gt;D$149,10,IF(LOG('Indicator Data'!D146)&lt;D$150,0,10-(D$149-LOG('Indicator Data'!D146))/(D$149-D$150)*10))))</f>
        <v>5.6995317823198191</v>
      </c>
      <c r="E144" s="4">
        <f>IF('Indicator Data'!E146="No data","x",IF('Indicator Data'!E146=0,0,IF(LOG('Indicator Data'!E146)&gt;E$149,10,IF(LOG('Indicator Data'!E146)&lt;E$150,0,10-(E$149-LOG('Indicator Data'!E146))/(E$149-E$150)*10))))</f>
        <v>7.9136906568083951</v>
      </c>
      <c r="F144" s="4">
        <f>IF('Indicator Data'!F146="No data","x",IF('Indicator Data'!F146=0,0,IF(LOG('Indicator Data'!F146)&gt;F$149,10,IF(LOG('Indicator Data'!F146)&lt;F$150,0,10-(F$149-LOG('Indicator Data'!F146))/(F$149-F$150)*10))))</f>
        <v>7.8068272762290603</v>
      </c>
      <c r="G144" s="135">
        <f t="shared" si="38"/>
        <v>7.8869748116635616</v>
      </c>
      <c r="H144" s="54">
        <f>IF('Indicator Data'!D146="No data","x",'Indicator Data'!D146/'Indicator Data'!AN146)</f>
        <v>9.3904253242413374E-2</v>
      </c>
      <c r="I144" s="54">
        <f>IF('Indicator Data'!E146="No data","x",'Indicator Data'!E146/'Indicator Data'!$AN146)</f>
        <v>0.53855171080759578</v>
      </c>
      <c r="J144" s="54">
        <f>IF('Indicator Data'!F146="No data","x",'Indicator Data'!F146/'Indicator Data'!$AN146)</f>
        <v>0.46463228286865232</v>
      </c>
      <c r="K144" s="4">
        <f t="shared" si="41"/>
        <v>4.6952126621206682</v>
      </c>
      <c r="L144" s="4">
        <f t="shared" si="42"/>
        <v>10</v>
      </c>
      <c r="M144" s="4">
        <f t="shared" si="43"/>
        <v>10</v>
      </c>
      <c r="N144" s="135">
        <f t="shared" si="35"/>
        <v>10</v>
      </c>
      <c r="O144" s="6">
        <f t="shared" si="39"/>
        <v>5.2187309958961405</v>
      </c>
      <c r="P144" s="6">
        <f t="shared" si="40"/>
        <v>9.2183951614628725</v>
      </c>
      <c r="Q144" s="15">
        <f t="shared" si="44"/>
        <v>7.7715599697962334</v>
      </c>
      <c r="R144" s="4">
        <f>IF(VLOOKUP($B144,'Indicator Data (national)'!$B$5:$H$14,6,FALSE)="No data","x",IF(VLOOKUP($B144,'Indicator Data (national)'!$B$5:$H$14,6,FALSE)&gt;R$149,10,IF(VLOOKUP($B144,'Indicator Data (national)'!$B$5:$H$14,6,FALSE)&lt;R$150,0,10-(R$149-VLOOKUP($B144,'Indicator Data (national)'!$B$5:$H$14,6,FALSE))/(R$149-R$150)*10)))</f>
        <v>6.7298103858742149</v>
      </c>
      <c r="S144" s="4">
        <f>IF(VLOOKUP($B144,'Indicator Data (national)'!$B$5:$H$14,7,FALSE)="No data","x",IF(VLOOKUP($B144,'Indicator Data (national)'!$B$5:$H$14,7,FALSE)&gt;S$149,10,IF(VLOOKUP($B144,'Indicator Data (national)'!$B$5:$H$14,7,FALSE)&lt;S$150,0,10-(S$149-VLOOKUP($B144,'Indicator Data (national)'!$B$5:$H$14,7,FALSE))/(S$149-S$150)*10)))</f>
        <v>3.1340186731130126</v>
      </c>
      <c r="T144" s="138">
        <f t="shared" si="45"/>
        <v>5.1992551517796564</v>
      </c>
      <c r="U144" s="6">
        <f>IF('Indicator Data'!G146=5,10,IF('Indicator Data'!G146=4,8,IF('Indicator Data'!G146=3,5,IF('Indicator Data'!G146=2,2,IF('Indicator Data'!G146=1,1,0)))))</f>
        <v>0</v>
      </c>
      <c r="V144" s="4">
        <f>IF('Indicator Data'!H146="No data","x",IF('Indicator Data'!H146&gt;1000,10,IF('Indicator Data'!H146&gt;=500,9,IF('Indicator Data'!H146&gt;=240,8,IF('Indicator Data'!H146&gt;=120,7,IF('Indicator Data'!H146&gt;=60,6,IF('Indicator Data'!H146&gt;=20,5,IF('Indicator Data'!H146&gt;=10,4,IF('Indicator Data'!H146&gt;=5,3,0)))))))))</f>
        <v>0</v>
      </c>
      <c r="W144" s="6">
        <f t="shared" si="46"/>
        <v>0</v>
      </c>
      <c r="X144" s="4">
        <f>IF('Indicator Data'!K146="No data","x",IF('Indicator Data'!K146&gt;X$149,0,IF('Indicator Data'!K146&lt;X$150,10,(X$149-'Indicator Data'!K146)/(X$149-X$150)*10)))</f>
        <v>3.9428895307242549</v>
      </c>
      <c r="Y144" s="6">
        <f t="shared" si="47"/>
        <v>1.9714447653621274</v>
      </c>
      <c r="Z144" s="7">
        <f t="shared" si="48"/>
        <v>1.3011535451390042</v>
      </c>
      <c r="AA144" s="139">
        <f t="shared" si="49"/>
        <v>2.5996275758898282</v>
      </c>
    </row>
    <row r="145" spans="1:27" x14ac:dyDescent="0.25">
      <c r="A145" s="16" t="s">
        <v>567</v>
      </c>
      <c r="B145" s="11" t="s">
        <v>581</v>
      </c>
      <c r="C145" s="126" t="s">
        <v>613</v>
      </c>
      <c r="D145" s="4">
        <f>IF('Indicator Data'!D147="No data","x",IF('Indicator Data'!D147=0,0,IF(LOG('Indicator Data'!D147)&gt;D$149,10,IF(LOG('Indicator Data'!D147)&lt;D$150,0,10-(D$149-LOG('Indicator Data'!D147))/(D$149-D$150)*10))))</f>
        <v>7.0200616007545742</v>
      </c>
      <c r="E145" s="4">
        <f>IF('Indicator Data'!E147="No data","x",IF('Indicator Data'!E147=0,0,IF(LOG('Indicator Data'!E147)&gt;E$149,10,IF(LOG('Indicator Data'!E147)&lt;E$150,0,10-(E$149-LOG('Indicator Data'!E147))/(E$149-E$150)*10))))</f>
        <v>4.3918023933514547</v>
      </c>
      <c r="F145" s="4">
        <f>IF('Indicator Data'!F147="No data","x",IF('Indicator Data'!F147=0,0,IF(LOG('Indicator Data'!F147)&gt;F$149,10,IF(LOG('Indicator Data'!F147)&lt;F$150,0,10-(F$149-LOG('Indicator Data'!F147))/(F$149-F$150)*10))))</f>
        <v>9.2047185733275381</v>
      </c>
      <c r="G145" s="135">
        <f t="shared" si="38"/>
        <v>5.595031438345476</v>
      </c>
      <c r="H145" s="54">
        <f>IF('Indicator Data'!D147="No data","x",'Indicator Data'!D147/'Indicator Data'!AN147)</f>
        <v>0.22705762697792201</v>
      </c>
      <c r="I145" s="54">
        <f>IF('Indicator Data'!E147="No data","x",'Indicator Data'!E147/'Indicator Data'!$AN147)</f>
        <v>1.1944676994181259E-3</v>
      </c>
      <c r="J145" s="54">
        <f>IF('Indicator Data'!F147="No data","x",'Indicator Data'!F147/'Indicator Data'!$AN147)</f>
        <v>0.92241024541108263</v>
      </c>
      <c r="K145" s="4">
        <f t="shared" si="41"/>
        <v>10</v>
      </c>
      <c r="L145" s="4">
        <f t="shared" si="42"/>
        <v>5.9723384970906679E-2</v>
      </c>
      <c r="M145" s="4">
        <f t="shared" si="43"/>
        <v>10</v>
      </c>
      <c r="N145" s="135">
        <f t="shared" si="35"/>
        <v>2.54479253872818</v>
      </c>
      <c r="O145" s="6">
        <f t="shared" si="39"/>
        <v>8.9790673575584741</v>
      </c>
      <c r="P145" s="6">
        <f t="shared" si="40"/>
        <v>4.2370660321524181</v>
      </c>
      <c r="Q145" s="15">
        <f t="shared" si="44"/>
        <v>7.2828262637893859</v>
      </c>
      <c r="R145" s="4">
        <f>IF(VLOOKUP($B145,'Indicator Data (national)'!$B$5:$H$14,6,FALSE)="No data","x",IF(VLOOKUP($B145,'Indicator Data (national)'!$B$5:$H$14,6,FALSE)&gt;R$149,10,IF(VLOOKUP($B145,'Indicator Data (national)'!$B$5:$H$14,6,FALSE)&lt;R$150,0,10-(R$149-VLOOKUP($B145,'Indicator Data (national)'!$B$5:$H$14,6,FALSE))/(R$149-R$150)*10)))</f>
        <v>6.7298103858742149</v>
      </c>
      <c r="S145" s="4">
        <f>IF(VLOOKUP($B145,'Indicator Data (national)'!$B$5:$H$14,7,FALSE)="No data","x",IF(VLOOKUP($B145,'Indicator Data (national)'!$B$5:$H$14,7,FALSE)&gt;S$149,10,IF(VLOOKUP($B145,'Indicator Data (national)'!$B$5:$H$14,7,FALSE)&lt;S$150,0,10-(S$149-VLOOKUP($B145,'Indicator Data (national)'!$B$5:$H$14,7,FALSE))/(S$149-S$150)*10)))</f>
        <v>3.1340186731130126</v>
      </c>
      <c r="T145" s="138">
        <f t="shared" si="45"/>
        <v>5.1992551517796564</v>
      </c>
      <c r="U145" s="6">
        <f>IF('Indicator Data'!G147=5,10,IF('Indicator Data'!G147=4,8,IF('Indicator Data'!G147=3,5,IF('Indicator Data'!G147=2,2,IF('Indicator Data'!G147=1,1,0)))))</f>
        <v>0</v>
      </c>
      <c r="V145" s="4">
        <f>IF('Indicator Data'!H147="No data","x",IF('Indicator Data'!H147&gt;1000,10,IF('Indicator Data'!H147&gt;=500,9,IF('Indicator Data'!H147&gt;=240,8,IF('Indicator Data'!H147&gt;=120,7,IF('Indicator Data'!H147&gt;=60,6,IF('Indicator Data'!H147&gt;=20,5,IF('Indicator Data'!H147&gt;=10,4,IF('Indicator Data'!H147&gt;=5,3,0)))))))))</f>
        <v>0</v>
      </c>
      <c r="W145" s="6">
        <f t="shared" si="46"/>
        <v>0</v>
      </c>
      <c r="X145" s="4">
        <f>IF('Indicator Data'!K147="No data","x",IF('Indicator Data'!K147&gt;X$149,0,IF('Indicator Data'!K147&lt;X$150,10,(X$149-'Indicator Data'!K147)/(X$149-X$150)*10)))</f>
        <v>3.9428895307242549</v>
      </c>
      <c r="Y145" s="6">
        <f t="shared" si="47"/>
        <v>1.9714447653621274</v>
      </c>
      <c r="Z145" s="7">
        <f t="shared" si="48"/>
        <v>1.3011535451390042</v>
      </c>
      <c r="AA145" s="139">
        <f t="shared" si="49"/>
        <v>2.5996275758898282</v>
      </c>
    </row>
    <row r="146" spans="1:27" x14ac:dyDescent="0.25">
      <c r="A146" s="16" t="s">
        <v>568</v>
      </c>
      <c r="B146" s="11" t="s">
        <v>581</v>
      </c>
      <c r="C146" s="126" t="s">
        <v>614</v>
      </c>
      <c r="D146" s="4">
        <f>IF('Indicator Data'!D148="No data","x",IF('Indicator Data'!D148=0,0,IF(LOG('Indicator Data'!D148)&gt;D$149,10,IF(LOG('Indicator Data'!D148)&lt;D$150,0,10-(D$149-LOG('Indicator Data'!D148))/(D$149-D$150)*10))))</f>
        <v>6.9687807266693715</v>
      </c>
      <c r="E146" s="4">
        <f>IF('Indicator Data'!E148="No data","x",IF('Indicator Data'!E148=0,0,IF(LOG('Indicator Data'!E148)&gt;E$149,10,IF(LOG('Indicator Data'!E148)&lt;E$150,0,10-(E$149-LOG('Indicator Data'!E148))/(E$149-E$150)*10))))</f>
        <v>0</v>
      </c>
      <c r="F146" s="4">
        <f>IF('Indicator Data'!F148="No data","x",IF('Indicator Data'!F148=0,0,IF(LOG('Indicator Data'!F148)&gt;F$149,10,IF(LOG('Indicator Data'!F148)&lt;F$150,0,10-(F$149-LOG('Indicator Data'!F148))/(F$149-F$150)*10))))</f>
        <v>9.0154328308684697</v>
      </c>
      <c r="G146" s="135">
        <f t="shared" si="38"/>
        <v>2.2538582077171174</v>
      </c>
      <c r="H146" s="54">
        <f>IF('Indicator Data'!D148="No data","x",'Indicator Data'!D148/'Indicator Data'!AN148)</f>
        <v>0.15707046562371269</v>
      </c>
      <c r="I146" s="54">
        <f>IF('Indicator Data'!E148="No data","x",'Indicator Data'!E148/'Indicator Data'!$AN148)</f>
        <v>0</v>
      </c>
      <c r="J146" s="54">
        <f>IF('Indicator Data'!F148="No data","x",'Indicator Data'!F148/'Indicator Data'!$AN148)</f>
        <v>0.53359004809554811</v>
      </c>
      <c r="K146" s="4">
        <f t="shared" si="41"/>
        <v>7.8535232811856339</v>
      </c>
      <c r="L146" s="4">
        <f t="shared" si="42"/>
        <v>0</v>
      </c>
      <c r="M146" s="4">
        <f t="shared" si="43"/>
        <v>10</v>
      </c>
      <c r="N146" s="135">
        <f t="shared" si="35"/>
        <v>2.5</v>
      </c>
      <c r="O146" s="6">
        <f t="shared" si="39"/>
        <v>7.437692397176102</v>
      </c>
      <c r="P146" s="6">
        <f t="shared" si="40"/>
        <v>2.3777962255514957</v>
      </c>
      <c r="Q146" s="15">
        <f t="shared" si="44"/>
        <v>5.4470911309819918</v>
      </c>
      <c r="R146" s="4">
        <f>IF(VLOOKUP($B146,'Indicator Data (national)'!$B$5:$H$14,6,FALSE)="No data","x",IF(VLOOKUP($B146,'Indicator Data (national)'!$B$5:$H$14,6,FALSE)&gt;R$149,10,IF(VLOOKUP($B146,'Indicator Data (national)'!$B$5:$H$14,6,FALSE)&lt;R$150,0,10-(R$149-VLOOKUP($B146,'Indicator Data (national)'!$B$5:$H$14,6,FALSE))/(R$149-R$150)*10)))</f>
        <v>6.7298103858742149</v>
      </c>
      <c r="S146" s="4">
        <f>IF(VLOOKUP($B146,'Indicator Data (national)'!$B$5:$H$14,7,FALSE)="No data","x",IF(VLOOKUP($B146,'Indicator Data (national)'!$B$5:$H$14,7,FALSE)&gt;S$149,10,IF(VLOOKUP($B146,'Indicator Data (national)'!$B$5:$H$14,7,FALSE)&lt;S$150,0,10-(S$149-VLOOKUP($B146,'Indicator Data (national)'!$B$5:$H$14,7,FALSE))/(S$149-S$150)*10)))</f>
        <v>3.1340186731130126</v>
      </c>
      <c r="T146" s="138">
        <f t="shared" si="45"/>
        <v>5.1992551517796564</v>
      </c>
      <c r="U146" s="6">
        <f>IF('Indicator Data'!G148=5,10,IF('Indicator Data'!G148=4,8,IF('Indicator Data'!G148=3,5,IF('Indicator Data'!G148=2,2,IF('Indicator Data'!G148=1,1,0)))))</f>
        <v>5</v>
      </c>
      <c r="V146" s="4">
        <f>IF('Indicator Data'!H148="No data","x",IF('Indicator Data'!H148&gt;1000,10,IF('Indicator Data'!H148&gt;=500,9,IF('Indicator Data'!H148&gt;=240,8,IF('Indicator Data'!H148&gt;=120,7,IF('Indicator Data'!H148&gt;=60,6,IF('Indicator Data'!H148&gt;=20,5,IF('Indicator Data'!H148&gt;=10,4,IF('Indicator Data'!H148&gt;=5,3,0)))))))))</f>
        <v>3</v>
      </c>
      <c r="W146" s="6">
        <f t="shared" si="46"/>
        <v>5</v>
      </c>
      <c r="X146" s="4">
        <f>IF('Indicator Data'!K148="No data","x",IF('Indicator Data'!K148&gt;X$149,0,IF('Indicator Data'!K148&lt;X$150,10,(X$149-'Indicator Data'!K148)/(X$149-X$150)*10)))</f>
        <v>3.9428895307242549</v>
      </c>
      <c r="Y146" s="6">
        <f t="shared" si="47"/>
        <v>4.4714447653621274</v>
      </c>
      <c r="Z146" s="7">
        <f t="shared" si="48"/>
        <v>4.6011535451390042</v>
      </c>
      <c r="AA146" s="139">
        <f t="shared" si="49"/>
        <v>5.0996275758898282</v>
      </c>
    </row>
    <row r="147" spans="1:27" x14ac:dyDescent="0.25">
      <c r="A147" s="16" t="s">
        <v>569</v>
      </c>
      <c r="B147" s="11" t="s">
        <v>581</v>
      </c>
      <c r="C147" s="126" t="s">
        <v>615</v>
      </c>
      <c r="D147" s="4">
        <f>IF('Indicator Data'!D149="No data","x",IF('Indicator Data'!D149=0,0,IF(LOG('Indicator Data'!D149)&gt;D$149,10,IF(LOG('Indicator Data'!D149)&lt;D$150,0,10-(D$149-LOG('Indicator Data'!D149))/(D$149-D$150)*10))))</f>
        <v>6.611000952683467</v>
      </c>
      <c r="E147" s="4">
        <f>IF('Indicator Data'!E149="No data","x",IF('Indicator Data'!E149=0,0,IF(LOG('Indicator Data'!E149)&gt;E$149,10,IF(LOG('Indicator Data'!E149)&lt;E$150,0,10-(E$149-LOG('Indicator Data'!E149))/(E$149-E$150)*10))))</f>
        <v>0</v>
      </c>
      <c r="F147" s="4">
        <f>IF('Indicator Data'!F149="No data","x",IF('Indicator Data'!F149=0,0,IF(LOG('Indicator Data'!F149)&gt;F$149,10,IF(LOG('Indicator Data'!F149)&lt;F$150,0,10-(F$149-LOG('Indicator Data'!F149))/(F$149-F$150)*10))))</f>
        <v>4.5579997159814125</v>
      </c>
      <c r="G147" s="135">
        <f t="shared" si="38"/>
        <v>1.1394999289953531</v>
      </c>
      <c r="H147" s="54">
        <f>IF('Indicator Data'!D149="No data","x",'Indicator Data'!D149/'Indicator Data'!AN149)</f>
        <v>0.15568279420176279</v>
      </c>
      <c r="I147" s="54">
        <f>IF('Indicator Data'!E149="No data","x",'Indicator Data'!E149/'Indicator Data'!$AN149)</f>
        <v>0</v>
      </c>
      <c r="J147" s="54">
        <f>IF('Indicator Data'!F149="No data","x",'Indicator Data'!F149/'Indicator Data'!$AN149)</f>
        <v>1.9922313982272443E-3</v>
      </c>
      <c r="K147" s="4">
        <f t="shared" si="41"/>
        <v>7.7841397100881391</v>
      </c>
      <c r="L147" s="4">
        <f t="shared" si="42"/>
        <v>0</v>
      </c>
      <c r="M147" s="4">
        <f t="shared" si="43"/>
        <v>9.9611569911361997E-2</v>
      </c>
      <c r="N147" s="135">
        <f t="shared" si="35"/>
        <v>2.4902892477840499E-2</v>
      </c>
      <c r="O147" s="6">
        <f t="shared" si="39"/>
        <v>7.2417781196845867</v>
      </c>
      <c r="P147" s="6">
        <f t="shared" si="40"/>
        <v>0.59696074885229722</v>
      </c>
      <c r="Q147" s="15">
        <f t="shared" si="44"/>
        <v>4.7328081335545278</v>
      </c>
      <c r="R147" s="4">
        <f>IF(VLOOKUP($B147,'Indicator Data (national)'!$B$5:$H$14,6,FALSE)="No data","x",IF(VLOOKUP($B147,'Indicator Data (national)'!$B$5:$H$14,6,FALSE)&gt;R$149,10,IF(VLOOKUP($B147,'Indicator Data (national)'!$B$5:$H$14,6,FALSE)&lt;R$150,0,10-(R$149-VLOOKUP($B147,'Indicator Data (national)'!$B$5:$H$14,6,FALSE))/(R$149-R$150)*10)))</f>
        <v>6.7298103858742149</v>
      </c>
      <c r="S147" s="4">
        <f>IF(VLOOKUP($B147,'Indicator Data (national)'!$B$5:$H$14,7,FALSE)="No data","x",IF(VLOOKUP($B147,'Indicator Data (national)'!$B$5:$H$14,7,FALSE)&gt;S$149,10,IF(VLOOKUP($B147,'Indicator Data (national)'!$B$5:$H$14,7,FALSE)&lt;S$150,0,10-(S$149-VLOOKUP($B147,'Indicator Data (national)'!$B$5:$H$14,7,FALSE))/(S$149-S$150)*10)))</f>
        <v>3.1340186731130126</v>
      </c>
      <c r="T147" s="138">
        <f t="shared" si="45"/>
        <v>5.1992551517796564</v>
      </c>
      <c r="U147" s="6">
        <f>IF('Indicator Data'!G149=5,10,IF('Indicator Data'!G149=4,8,IF('Indicator Data'!G149=3,5,IF('Indicator Data'!G149=2,2,IF('Indicator Data'!G149=1,1,0)))))</f>
        <v>0</v>
      </c>
      <c r="V147" s="4">
        <f>IF('Indicator Data'!H149="No data","x",IF('Indicator Data'!H149&gt;1000,10,IF('Indicator Data'!H149&gt;=500,9,IF('Indicator Data'!H149&gt;=240,8,IF('Indicator Data'!H149&gt;=120,7,IF('Indicator Data'!H149&gt;=60,6,IF('Indicator Data'!H149&gt;=20,5,IF('Indicator Data'!H149&gt;=10,4,IF('Indicator Data'!H149&gt;=5,3,0)))))))))</f>
        <v>4</v>
      </c>
      <c r="W147" s="6">
        <f t="shared" si="46"/>
        <v>4</v>
      </c>
      <c r="X147" s="4">
        <f>IF('Indicator Data'!K149="No data","x",IF('Indicator Data'!K149&gt;X$149,0,IF('Indicator Data'!K149&lt;X$150,10,(X$149-'Indicator Data'!K149)/(X$149-X$150)*10)))</f>
        <v>3.9428895307242549</v>
      </c>
      <c r="Y147" s="6">
        <f t="shared" si="47"/>
        <v>1.9714447653621274</v>
      </c>
      <c r="Z147" s="7">
        <f t="shared" si="48"/>
        <v>2.6211535451390042</v>
      </c>
      <c r="AA147" s="139">
        <f t="shared" si="49"/>
        <v>4.5996275758898282</v>
      </c>
    </row>
    <row r="148" spans="1:27" x14ac:dyDescent="0.25">
      <c r="A148" s="16" t="s">
        <v>570</v>
      </c>
      <c r="B148" s="11" t="s">
        <v>581</v>
      </c>
      <c r="C148" s="126" t="s">
        <v>616</v>
      </c>
      <c r="D148" s="4">
        <f>IF('Indicator Data'!D150="No data","x",IF('Indicator Data'!D150=0,0,IF(LOG('Indicator Data'!D150)&gt;D$149,10,IF(LOG('Indicator Data'!D150)&lt;D$150,0,10-(D$149-LOG('Indicator Data'!D150))/(D$149-D$150)*10))))</f>
        <v>6.6570502942528975</v>
      </c>
      <c r="E148" s="4">
        <f>IF('Indicator Data'!E150="No data","x",IF('Indicator Data'!E150=0,0,IF(LOG('Indicator Data'!E150)&gt;E$149,10,IF(LOG('Indicator Data'!E150)&lt;E$150,0,10-(E$149-LOG('Indicator Data'!E150))/(E$149-E$150)*10))))</f>
        <v>0</v>
      </c>
      <c r="F148" s="4">
        <f>IF('Indicator Data'!F150="No data","x",IF('Indicator Data'!F150=0,0,IF(LOG('Indicator Data'!F150)&gt;F$149,10,IF(LOG('Indicator Data'!F150)&lt;F$150,0,10-(F$149-LOG('Indicator Data'!F150))/(F$149-F$150)*10))))</f>
        <v>8.6277909315826253</v>
      </c>
      <c r="G148" s="135">
        <f t="shared" si="38"/>
        <v>2.1569477328956563</v>
      </c>
      <c r="H148" s="54">
        <f>IF('Indicator Data'!D150="No data","x",'Indicator Data'!D150/'Indicator Data'!AN150)</f>
        <v>0.10819525429506893</v>
      </c>
      <c r="I148" s="54">
        <f>IF('Indicator Data'!E150="No data","x",'Indicator Data'!E150/'Indicator Data'!$AN150)</f>
        <v>0</v>
      </c>
      <c r="J148" s="54">
        <f>IF('Indicator Data'!F150="No data","x",'Indicator Data'!F150/'Indicator Data'!$AN150)</f>
        <v>0.3555883836052301</v>
      </c>
      <c r="K148" s="4">
        <f t="shared" si="41"/>
        <v>5.4097627147534464</v>
      </c>
      <c r="L148" s="4">
        <f t="shared" si="42"/>
        <v>0</v>
      </c>
      <c r="M148" s="4">
        <f t="shared" si="43"/>
        <v>10</v>
      </c>
      <c r="N148" s="135">
        <f t="shared" si="35"/>
        <v>2.5</v>
      </c>
      <c r="O148" s="6">
        <f t="shared" si="39"/>
        <v>6.0718500050089395</v>
      </c>
      <c r="P148" s="6">
        <f t="shared" si="40"/>
        <v>2.3301489908844601</v>
      </c>
      <c r="Q148" s="15">
        <f t="shared" si="44"/>
        <v>4.4590767691511548</v>
      </c>
      <c r="R148" s="4">
        <f>IF(VLOOKUP($B148,'Indicator Data (national)'!$B$5:$H$14,6,FALSE)="No data","x",IF(VLOOKUP($B148,'Indicator Data (national)'!$B$5:$H$14,6,FALSE)&gt;R$149,10,IF(VLOOKUP($B148,'Indicator Data (national)'!$B$5:$H$14,6,FALSE)&lt;R$150,0,10-(R$149-VLOOKUP($B148,'Indicator Data (national)'!$B$5:$H$14,6,FALSE))/(R$149-R$150)*10)))</f>
        <v>6.7298103858742149</v>
      </c>
      <c r="S148" s="4">
        <f>IF(VLOOKUP($B148,'Indicator Data (national)'!$B$5:$H$14,7,FALSE)="No data","x",IF(VLOOKUP($B148,'Indicator Data (national)'!$B$5:$H$14,7,FALSE)&gt;S$149,10,IF(VLOOKUP($B148,'Indicator Data (national)'!$B$5:$H$14,7,FALSE)&lt;S$150,0,10-(S$149-VLOOKUP($B148,'Indicator Data (national)'!$B$5:$H$14,7,FALSE))/(S$149-S$150)*10)))</f>
        <v>3.1340186731130126</v>
      </c>
      <c r="T148" s="138">
        <f t="shared" si="45"/>
        <v>5.1992551517796564</v>
      </c>
      <c r="U148" s="6">
        <f>IF('Indicator Data'!G150=5,10,IF('Indicator Data'!G150=4,8,IF('Indicator Data'!G150=3,5,IF('Indicator Data'!G150=2,2,IF('Indicator Data'!G150=1,1,0)))))</f>
        <v>5</v>
      </c>
      <c r="V148" s="4">
        <f>IF('Indicator Data'!H150="No data","x",IF('Indicator Data'!H150&gt;1000,10,IF('Indicator Data'!H150&gt;=500,9,IF('Indicator Data'!H150&gt;=240,8,IF('Indicator Data'!H150&gt;=120,7,IF('Indicator Data'!H150&gt;=60,6,IF('Indicator Data'!H150&gt;=20,5,IF('Indicator Data'!H150&gt;=10,4,IF('Indicator Data'!H150&gt;=5,3,0)))))))))</f>
        <v>7</v>
      </c>
      <c r="W148" s="6">
        <f t="shared" si="46"/>
        <v>7</v>
      </c>
      <c r="X148" s="4">
        <f>IF('Indicator Data'!K150="No data","x",IF('Indicator Data'!K150&gt;X$149,0,IF('Indicator Data'!K150&lt;X$150,10,(X$149-'Indicator Data'!K150)/(X$149-X$150)*10)))</f>
        <v>3.9428895307242549</v>
      </c>
      <c r="Y148" s="6">
        <f t="shared" si="47"/>
        <v>4.4714447653621274</v>
      </c>
      <c r="Z148" s="7">
        <f t="shared" si="48"/>
        <v>5.2611535451390044</v>
      </c>
      <c r="AA148" s="139">
        <f t="shared" si="49"/>
        <v>6.0996275758898282</v>
      </c>
    </row>
    <row r="149" spans="1:27" x14ac:dyDescent="0.25">
      <c r="C149" s="151" t="s">
        <v>756</v>
      </c>
      <c r="D149" s="21">
        <v>8</v>
      </c>
      <c r="E149" s="21">
        <v>7</v>
      </c>
      <c r="F149" s="21">
        <v>7</v>
      </c>
      <c r="G149" s="21"/>
      <c r="H149" s="22"/>
      <c r="I149" s="20"/>
      <c r="J149" s="20"/>
      <c r="K149" s="23">
        <v>0.2</v>
      </c>
      <c r="L149" s="23">
        <v>0.2</v>
      </c>
      <c r="M149" s="23">
        <v>0.2</v>
      </c>
      <c r="N149" s="23"/>
      <c r="O149" s="24"/>
      <c r="P149" s="24"/>
      <c r="Q149" s="19"/>
      <c r="R149" s="19">
        <v>0.95</v>
      </c>
      <c r="S149" s="19">
        <v>0.95</v>
      </c>
      <c r="T149" s="19"/>
      <c r="U149" s="19"/>
      <c r="V149" s="19"/>
      <c r="W149" s="19"/>
      <c r="X149" s="19">
        <v>2.5</v>
      </c>
      <c r="Y149" s="19"/>
      <c r="Z149" s="19"/>
    </row>
    <row r="150" spans="1:27" x14ac:dyDescent="0.25">
      <c r="C150" s="151" t="s">
        <v>757</v>
      </c>
      <c r="D150" s="21">
        <v>1</v>
      </c>
      <c r="E150" s="122">
        <v>1</v>
      </c>
      <c r="F150" s="122">
        <v>1</v>
      </c>
      <c r="G150" s="122"/>
      <c r="H150" s="22"/>
      <c r="I150" s="20"/>
      <c r="J150" s="20"/>
      <c r="K150" s="23">
        <v>0</v>
      </c>
      <c r="L150" s="23">
        <v>0</v>
      </c>
      <c r="M150" s="23">
        <v>0</v>
      </c>
      <c r="N150" s="23"/>
      <c r="O150" s="24"/>
      <c r="P150" s="24"/>
      <c r="Q150" s="19"/>
      <c r="R150" s="19">
        <v>0</v>
      </c>
      <c r="S150" s="19">
        <v>0.01</v>
      </c>
      <c r="T150" s="19"/>
      <c r="U150" s="19"/>
      <c r="V150" s="19"/>
      <c r="W150" s="19"/>
      <c r="X150" s="19">
        <v>-2.5</v>
      </c>
      <c r="Y150" s="19"/>
      <c r="Z150" s="19"/>
    </row>
    <row r="151" spans="1:27" x14ac:dyDescent="0.25">
      <c r="C151" s="151" t="s">
        <v>766</v>
      </c>
      <c r="D151" s="21">
        <v>10</v>
      </c>
      <c r="E151" s="21">
        <v>15</v>
      </c>
      <c r="F151" s="21">
        <v>15</v>
      </c>
    </row>
    <row r="152" spans="1:27" x14ac:dyDescent="0.25">
      <c r="C152" s="151" t="s">
        <v>767</v>
      </c>
      <c r="D152" s="21">
        <v>1</v>
      </c>
      <c r="E152" s="21">
        <v>1</v>
      </c>
      <c r="F152" s="21">
        <v>1</v>
      </c>
    </row>
  </sheetData>
  <mergeCells count="1">
    <mergeCell ref="A1:AA1"/>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0"/>
  <sheetViews>
    <sheetView showGridLines="0" workbookViewId="0">
      <pane xSplit="3" ySplit="2" topLeftCell="G19" activePane="bottomRight" state="frozen"/>
      <selection pane="topRight" activeCell="D1" sqref="D1"/>
      <selection pane="bottomLeft" activeCell="A3" sqref="A3"/>
      <selection pane="bottomRight" activeCell="L8" sqref="L8"/>
    </sheetView>
  </sheetViews>
  <sheetFormatPr defaultColWidth="8.85546875" defaultRowHeight="15" x14ac:dyDescent="0.25"/>
  <cols>
    <col min="1" max="1" width="49.42578125" style="8" bestFit="1" customWidth="1"/>
    <col min="2" max="3" width="9.140625" style="8" customWidth="1"/>
    <col min="4" max="10" width="8.85546875" style="8"/>
    <col min="11" max="11" width="9.85546875" style="27" customWidth="1"/>
    <col min="12" max="14" width="9.85546875" style="26" customWidth="1"/>
    <col min="15" max="16" width="9.85546875" style="25" customWidth="1"/>
    <col min="17" max="17" width="10.42578125" style="27" bestFit="1" customWidth="1"/>
    <col min="18" max="20" width="9.85546875" style="27" customWidth="1"/>
    <col min="21" max="21" width="9.85546875" style="25" customWidth="1"/>
    <col min="22" max="22" width="10.42578125" style="27" bestFit="1" customWidth="1"/>
    <col min="23" max="25" width="9.85546875" style="27" customWidth="1"/>
    <col min="26" max="26" width="8.140625" style="25" customWidth="1"/>
    <col min="27" max="27" width="8.85546875" style="25" customWidth="1"/>
    <col min="28" max="28" width="10.140625" style="8" bestFit="1" customWidth="1"/>
    <col min="29" max="30" width="8.85546875" style="8"/>
    <col min="31" max="33" width="9.85546875" style="25" customWidth="1"/>
    <col min="34" max="34" width="9.85546875" style="41" customWidth="1"/>
    <col min="35" max="16384" width="8.85546875" style="8"/>
  </cols>
  <sheetData>
    <row r="1" spans="1:34" x14ac:dyDescent="0.25">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row>
    <row r="2" spans="1:34" s="55" customFormat="1" ht="126" customHeight="1" thickBot="1" x14ac:dyDescent="0.3">
      <c r="A2" s="11" t="s">
        <v>14</v>
      </c>
      <c r="B2" s="162" t="s">
        <v>0</v>
      </c>
      <c r="C2" s="161" t="s">
        <v>271</v>
      </c>
      <c r="D2" s="146" t="s">
        <v>20</v>
      </c>
      <c r="E2" s="146" t="s">
        <v>21</v>
      </c>
      <c r="F2" s="145" t="s">
        <v>741</v>
      </c>
      <c r="G2" s="145" t="s">
        <v>4</v>
      </c>
      <c r="H2" s="145" t="s">
        <v>716</v>
      </c>
      <c r="I2" s="147" t="s">
        <v>708</v>
      </c>
      <c r="J2" s="48" t="s">
        <v>283</v>
      </c>
      <c r="K2" s="43" t="s">
        <v>19</v>
      </c>
      <c r="L2" s="43" t="s">
        <v>29</v>
      </c>
      <c r="M2" s="145" t="s">
        <v>709</v>
      </c>
      <c r="N2" s="145" t="s">
        <v>710</v>
      </c>
      <c r="O2" s="48" t="s">
        <v>282</v>
      </c>
      <c r="P2" s="50" t="s">
        <v>86</v>
      </c>
      <c r="Q2" s="45" t="s">
        <v>693</v>
      </c>
      <c r="R2" s="46" t="s">
        <v>694</v>
      </c>
      <c r="S2" s="47" t="s">
        <v>18</v>
      </c>
      <c r="T2" s="46" t="s">
        <v>695</v>
      </c>
      <c r="U2" s="44" t="s">
        <v>699</v>
      </c>
      <c r="V2" s="45" t="s">
        <v>697</v>
      </c>
      <c r="W2" s="46" t="s">
        <v>696</v>
      </c>
      <c r="X2" s="47" t="s">
        <v>18</v>
      </c>
      <c r="Y2" s="46" t="s">
        <v>698</v>
      </c>
      <c r="Z2" s="44" t="s">
        <v>700</v>
      </c>
      <c r="AA2" s="142" t="s">
        <v>27</v>
      </c>
      <c r="AB2" s="45" t="s">
        <v>43</v>
      </c>
      <c r="AC2" s="45" t="s">
        <v>41</v>
      </c>
      <c r="AD2" s="48" t="s">
        <v>284</v>
      </c>
      <c r="AE2" s="46" t="s">
        <v>327</v>
      </c>
      <c r="AF2" s="48" t="s">
        <v>285</v>
      </c>
      <c r="AG2" s="160" t="s">
        <v>40</v>
      </c>
      <c r="AH2" s="51" t="s">
        <v>64</v>
      </c>
    </row>
    <row r="3" spans="1:34" s="11" customFormat="1" x14ac:dyDescent="0.25">
      <c r="A3" s="16" t="s">
        <v>328</v>
      </c>
      <c r="B3" s="126" t="s">
        <v>572</v>
      </c>
      <c r="C3" s="16" t="s">
        <v>329</v>
      </c>
      <c r="D3" s="13">
        <f>IF('Indicator Data'!I5="No data","x",IF('Indicator Data'!I5&gt;D$150,0,IF('Indicator Data'!I5&lt;D$149,10,(D$150-'Indicator Data'!I5)/(D$150-D$149)*10)))</f>
        <v>8.6239462288070516</v>
      </c>
      <c r="E3" s="13">
        <f>IF('Indicator Data'!J5="No data","x",IF('Indicator Data'!J5&gt;E$150,10,IF('Indicator Data'!J5&lt;E$149,0,10-(E$150-'Indicator Data'!J5)/(E$150-E$149)*10)))</f>
        <v>8.3105366666666676</v>
      </c>
      <c r="F3" s="144">
        <f>IF(OR('Indicator Data'!AG5=0,'Indicator Data'!AG5="No data"),"x",IF('Indicator Data'!AG5&gt;F$150,0,IF('Indicator Data'!AG5&lt;F$149,10,(F$150-'Indicator Data'!AG5)/(F$150-F$149)*10)))</f>
        <v>5.29</v>
      </c>
      <c r="G3" s="144">
        <f>IF(OR('Indicator Data'!AE5=0,'Indicator Data'!AE5="No data"),"x",IF('Indicator Data'!AE5&gt;G$150,0,IF('Indicator Data'!AE5&lt;G$149,10,(G$150-'Indicator Data'!AE5)/(G$150-G$149)*10)))</f>
        <v>9.7799999999999994</v>
      </c>
      <c r="H3" s="144">
        <f>IF(OR('Indicator Data'!AF5=0,'Indicator Data'!AF5="No data"),"x",IF('Indicator Data'!AF5&gt;H$150,0,IF('Indicator Data'!AF5&lt;H$149,10,(H$150-'Indicator Data'!AF5)/(H$150-H$149)*10)))</f>
        <v>6.15</v>
      </c>
      <c r="I3" s="144">
        <f t="shared" ref="I3:I34" si="0">AVERAGE(F3:H3)</f>
        <v>7.0733333333333333</v>
      </c>
      <c r="J3" s="49">
        <f>IF(AND(D3="x",E3="x"),I3,IF(E3="x",(10-GEOMEAN(((10-D3)/10*9+1),((10-I3)/10*9+1)))/9*10,(10-GEOMEAN(((10-D3)/10*9+1),((10-E3)/10*9+1)))/9*10))</f>
        <v>8.4718895576032551</v>
      </c>
      <c r="K3" s="13">
        <f>IF('Indicator Data'!K5="No data","x",IF('Indicator Data'!K5&gt;K$150,10,IF('Indicator Data'!K5&lt;K$149,0,10-(K$150-'Indicator Data'!K5)/(K$150-K$149)*10)))</f>
        <v>6.6848861579211238</v>
      </c>
      <c r="L3" s="13">
        <f>IF('Indicator Data'!L5="No data","x",IF('Indicator Data'!L5&gt;L$150,10,IF('Indicator Data'!L5&lt;L$149,0,10-(L$150-'Indicator Data'!L5)/(L$150-L$149)*10)))</f>
        <v>2.0674999999999999</v>
      </c>
      <c r="M3" s="13">
        <f>IF('Indicator Data'!M5="No data","x",IF('Indicator Data'!M5&gt;M$150,10,IF('Indicator Data'!M5&lt;M$149,0,10-(M$150-'Indicator Data'!M5)/(M$150-M$149)*10)))</f>
        <v>3.1764200000000011</v>
      </c>
      <c r="N3" s="144"/>
      <c r="O3" s="49">
        <f>IF(AND(K3="x",L3="x",M3="x",N3="x"),"x",AVERAGE(K3,L3,M3,N3))</f>
        <v>3.9762687193070412</v>
      </c>
      <c r="P3" s="42">
        <f>AVERAGE(J3,J3,O3)</f>
        <v>6.9733492781711837</v>
      </c>
      <c r="Q3" s="33">
        <f>'Indicator Data'!AA5</f>
        <v>0</v>
      </c>
      <c r="R3" s="13">
        <f>IF(Q3=0,0,IF(LOG(Q3)&gt;$R$150,10,IF(LOG(Q3)&lt;R$149,0,10-(R$150-LOG(Q3))/(R$150-R$149)*10)))</f>
        <v>0</v>
      </c>
      <c r="S3" s="38">
        <f>Q3/'Indicator Data'!AN5</f>
        <v>0</v>
      </c>
      <c r="T3" s="13">
        <f>IF(S3="x","x",IF(S3&gt;$T$150,10,IF(S3&lt;$T$149,0,((S3*100)/0.0052)^(1/4.0545)/6.5*10)))</f>
        <v>0</v>
      </c>
      <c r="U3" s="14">
        <f>AVERAGE(R3,T3)</f>
        <v>0</v>
      </c>
      <c r="V3" s="33">
        <f>IF('Indicator Data'!Z5="",VLOOKUP($B3,'Indicator Data (national)'!$B$5:$AA$14,26,FALSE),'Indicator Data'!Z5)</f>
        <v>78900</v>
      </c>
      <c r="W3" s="13">
        <f>IF(V3=0,0,IF(LOG(V3)&gt;$R$150,10,IF(LOG(V3)&lt;W$149,0,10-(W$150-LOG(V3))/(W$150-W$149)*10)))</f>
        <v>6.3235900106980685</v>
      </c>
      <c r="X3" s="38">
        <f>IF('Indicator Data'!Z5="",V3/VLOOKUP($B3,'Indicator Data (national)'!$B$5:$AM$14,38,FALSE),V3/'Indicator Data'!AN5)</f>
        <v>7.7638131914369371E-3</v>
      </c>
      <c r="Y3" s="13">
        <f>IF(X3="x","x",IF(X3&gt;$T$150,10,IF(X3&lt;$T$149,0,((X3*100)/0.0052)^(1/4.0545)/6.5*10)))</f>
        <v>5.2880881693640287</v>
      </c>
      <c r="Z3" s="14">
        <f>AVERAGE(W3,Y3)</f>
        <v>5.8058390900310481</v>
      </c>
      <c r="AA3" s="149">
        <f>AVERAGE(U3,Z3)</f>
        <v>2.9029195450155241</v>
      </c>
      <c r="AB3" s="33">
        <f>VLOOKUP($B3,'Indicator Data (national)'!$B$5:$Z$14,25,FALSE)+VLOOKUP($B3,'Indicator Data (national)'!$B$5:$Z$14,24,FALSE)*0.5+VLOOKUP($B3,'Indicator Data (national)'!$B$5:$Z$14,23,FALSE)*0.25</f>
        <v>12682</v>
      </c>
      <c r="AC3" s="39">
        <f>AB3/VLOOKUP($B3,'Indicator Data (national)'!$B$5:$AM$14,38,FALSE)</f>
        <v>1.2479173497313464E-3</v>
      </c>
      <c r="AD3" s="49">
        <f>IF(AC3="x","x",IF(AC3&gt;AD$150,10,IF(AC3&lt;AD$149,0,10-(AD$150-AC3)/(AD$150-AD$149)*10)))</f>
        <v>0.12479173497313489</v>
      </c>
      <c r="AE3" s="13">
        <f>IF('Indicator Data'!V5="No data","x",IF(('Indicator Data'!V5)&gt;AE$150,10,IF(('Indicator Data'!V5)&lt;AE$149,0,10-(AE$150-('Indicator Data'!V5))/(AE$150-AE$149)*10)))</f>
        <v>7.3684210526315788</v>
      </c>
      <c r="AF3" s="49">
        <f>AE3</f>
        <v>7.3684210526315788</v>
      </c>
      <c r="AG3" s="34">
        <f>IF(AF3="x",AD3,(10-GEOMEAN(((10-AD3)/10*9+1),((10-AF3)/10*9+1)))/9*10)</f>
        <v>4.6987489637934257</v>
      </c>
      <c r="AH3" s="52">
        <f t="shared" ref="AH3:AH34" si="1">(10-GEOMEAN(((10-Z3)/10*9+1),((10-AG3)/10*9+1)))/9*10</f>
        <v>5.2785023046508837</v>
      </c>
    </row>
    <row r="4" spans="1:34" s="11" customFormat="1" x14ac:dyDescent="0.25">
      <c r="A4" s="16" t="s">
        <v>330</v>
      </c>
      <c r="B4" s="126" t="s">
        <v>572</v>
      </c>
      <c r="C4" s="16" t="s">
        <v>331</v>
      </c>
      <c r="D4" s="13">
        <f>IF('Indicator Data'!I6="No data","x",IF('Indicator Data'!I6&gt;D$150,0,IF('Indicator Data'!I6&lt;D$149,10,(D$150-'Indicator Data'!I6)/(D$150-D$149)*10)))</f>
        <v>8.6239462288070516</v>
      </c>
      <c r="E4" s="13">
        <f>IF('Indicator Data'!J6="No data","x",IF('Indicator Data'!J6&gt;E$150,10,IF('Indicator Data'!J6&lt;E$149,0,10-(E$150-'Indicator Data'!J6)/(E$150-E$149)*10)))</f>
        <v>2.73996</v>
      </c>
      <c r="F4" s="144">
        <f>IF(OR('Indicator Data'!AG6=0,'Indicator Data'!AG6="No data"),"x",IF('Indicator Data'!AG6&gt;F$150,0,IF('Indicator Data'!AG6&lt;F$149,10,(F$150-'Indicator Data'!AG6)/(F$150-F$149)*10)))</f>
        <v>1.3400000000000007</v>
      </c>
      <c r="G4" s="144">
        <f>IF(OR('Indicator Data'!AE6=0,'Indicator Data'!AE6="No data"),"x",IF('Indicator Data'!AE6&gt;G$150,0,IF('Indicator Data'!AE6&lt;G$149,10,(G$150-'Indicator Data'!AE6)/(G$150-G$149)*10)))</f>
        <v>3.85</v>
      </c>
      <c r="H4" s="144">
        <f>IF(OR('Indicator Data'!AF6=0,'Indicator Data'!AF6="No data"),"x",IF('Indicator Data'!AF6&gt;H$150,0,IF('Indicator Data'!AF6&lt;H$149,10,(H$150-'Indicator Data'!AF6)/(H$150-H$149)*10)))</f>
        <v>6.1</v>
      </c>
      <c r="I4" s="144">
        <f t="shared" si="0"/>
        <v>3.7633333333333336</v>
      </c>
      <c r="J4" s="49">
        <f t="shared" ref="J4:J67" si="2">IF(AND(D4="x",E4="x"),I4,IF(E4="x",(10-GEOMEAN(((10-D4)/10*9+1),((10-I4)/10*9+1)))/9*10,(10-GEOMEAN(((10-D4)/10*9+1),((10-E4)/10*9+1)))/9*10))</f>
        <v>6.5481698373255099</v>
      </c>
      <c r="K4" s="13">
        <f>IF('Indicator Data'!K6="No data","x",IF('Indicator Data'!K6&gt;K$150,10,IF('Indicator Data'!K6&lt;K$149,0,10-(K$150-'Indicator Data'!K6)/(K$150-K$149)*10)))</f>
        <v>6.6848861579211238</v>
      </c>
      <c r="L4" s="13">
        <f>IF('Indicator Data'!L6="No data","x",IF('Indicator Data'!L6&gt;L$150,10,IF('Indicator Data'!L6&lt;L$149,0,10-(L$150-'Indicator Data'!L6)/(L$150-L$149)*10)))</f>
        <v>2.0674999999999999</v>
      </c>
      <c r="M4" s="13">
        <f>IF('Indicator Data'!M6="No data","x",IF('Indicator Data'!M6&gt;M$150,10,IF('Indicator Data'!M6&lt;M$149,0,10-(M$150-'Indicator Data'!M6)/(M$150-M$149)*10)))</f>
        <v>1.413333333333334</v>
      </c>
      <c r="N4" s="144"/>
      <c r="O4" s="49">
        <f t="shared" ref="O4:O67" si="3">IF(AND(K4="x",L4="x",M4="x",N4="x"),"x",AVERAGE(K4,L4,M4,N4))</f>
        <v>3.3885731637514858</v>
      </c>
      <c r="P4" s="42">
        <f t="shared" ref="P4:P67" si="4">AVERAGE(J4,J4,O4)</f>
        <v>5.4949709461341678</v>
      </c>
      <c r="Q4" s="33">
        <f>'Indicator Data'!AA6</f>
        <v>0</v>
      </c>
      <c r="R4" s="13">
        <f t="shared" ref="R4:R67" si="5">IF(Q4=0,0,IF(LOG(Q4)&gt;$R$150,10,IF(LOG(Q4)&lt;R$149,0,10-(R$150-LOG(Q4))/(R$150-R$149)*10)))</f>
        <v>0</v>
      </c>
      <c r="S4" s="38">
        <f>Q4/'Indicator Data'!AN6</f>
        <v>0</v>
      </c>
      <c r="T4" s="13">
        <f t="shared" ref="T4:T67" si="6">IF(S4="x","x",IF(S4&gt;$T$150,10,IF(S4&lt;$T$149,0,((S4*100)/0.0052)^(1/4.0545)/6.5*10)))</f>
        <v>0</v>
      </c>
      <c r="U4" s="14">
        <f t="shared" ref="U4:U67" si="7">AVERAGE(R4,T4)</f>
        <v>0</v>
      </c>
      <c r="V4" s="33">
        <f>IF('Indicator Data'!Z6="",VLOOKUP($B4,'Indicator Data (national)'!$B$5:$AA$14,26,FALSE),'Indicator Data'!Z6)</f>
        <v>78900</v>
      </c>
      <c r="W4" s="13">
        <f t="shared" ref="W4:W67" si="8">IF(V4=0,0,IF(LOG(V4)&gt;$R$150,10,IF(LOG(V4)&lt;W$149,0,10-(W$150-LOG(V4))/(W$150-W$149)*10)))</f>
        <v>6.3235900106980685</v>
      </c>
      <c r="X4" s="38">
        <f>IF('Indicator Data'!Z6="",V4/VLOOKUP($B4,'Indicator Data (national)'!$B$5:$AM$14,38,FALSE),V4/'Indicator Data'!AN6)</f>
        <v>7.7638131914369371E-3</v>
      </c>
      <c r="Y4" s="13">
        <f t="shared" ref="Y4:Y67" si="9">IF(X4="x","x",IF(X4&gt;$T$150,10,IF(X4&lt;$T$149,0,((X4*100)/0.0052)^(1/4.0545)/6.5*10)))</f>
        <v>5.2880881693640287</v>
      </c>
      <c r="Z4" s="14">
        <f t="shared" ref="Z4:Z67" si="10">AVERAGE(W4,Y4)</f>
        <v>5.8058390900310481</v>
      </c>
      <c r="AA4" s="149">
        <f t="shared" ref="AA4:AA67" si="11">AVERAGE(U4,Z4)</f>
        <v>2.9029195450155241</v>
      </c>
      <c r="AB4" s="33">
        <f>VLOOKUP($B4,'Indicator Data (national)'!$B$5:$Z$14,25,FALSE)+VLOOKUP($B4,'Indicator Data (national)'!$B$5:$Z$14,24,FALSE)*0.5+VLOOKUP($B4,'Indicator Data (national)'!$B$5:$Z$14,23,FALSE)*0.25</f>
        <v>12682</v>
      </c>
      <c r="AC4" s="39">
        <f>AB4/VLOOKUP($B4,'Indicator Data (national)'!$B$5:$AM$14,38,FALSE)</f>
        <v>1.2479173497313464E-3</v>
      </c>
      <c r="AD4" s="49">
        <f t="shared" ref="AD4:AD67" si="12">IF(AC4="x","x",IF(AC4&gt;AD$150,10,IF(AC4&lt;AD$149,0,10-(AD$150-AC4)/(AD$150-AD$149)*10)))</f>
        <v>0.12479173497313489</v>
      </c>
      <c r="AE4" s="13">
        <f>IF('Indicator Data'!V6="No data","x",IF(('Indicator Data'!V6)&gt;AE$150,10,IF(('Indicator Data'!V6)&lt;AE$149,0,10-(AE$150-('Indicator Data'!V6))/(AE$150-AE$149)*10)))</f>
        <v>7.3684210526315788</v>
      </c>
      <c r="AF4" s="49">
        <f t="shared" ref="AF4:AF67" si="13">AE4</f>
        <v>7.3684210526315788</v>
      </c>
      <c r="AG4" s="34">
        <f t="shared" ref="AG4:AG67" si="14">IF(AF4="x",AD4,(10-GEOMEAN(((10-AD4)/10*9+1),((10-AF4)/10*9+1)))/9*10)</f>
        <v>4.6987489637934257</v>
      </c>
      <c r="AH4" s="52">
        <f t="shared" si="1"/>
        <v>5.2785023046508837</v>
      </c>
    </row>
    <row r="5" spans="1:34" s="11" customFormat="1" x14ac:dyDescent="0.25">
      <c r="A5" s="16" t="s">
        <v>332</v>
      </c>
      <c r="B5" s="126" t="s">
        <v>572</v>
      </c>
      <c r="C5" s="16" t="s">
        <v>333</v>
      </c>
      <c r="D5" s="13">
        <f>IF('Indicator Data'!I7="No data","x",IF('Indicator Data'!I7&gt;D$150,0,IF('Indicator Data'!I7&lt;D$149,10,(D$150-'Indicator Data'!I7)/(D$150-D$149)*10)))</f>
        <v>8.6239462288070516</v>
      </c>
      <c r="E5" s="13">
        <f>IF('Indicator Data'!J7="No data","x",IF('Indicator Data'!J7&gt;E$150,10,IF('Indicator Data'!J7&lt;E$149,0,10-(E$150-'Indicator Data'!J7)/(E$150-E$149)*10)))</f>
        <v>8.3105366666666676</v>
      </c>
      <c r="F5" s="144">
        <f>IF(OR('Indicator Data'!AG7=0,'Indicator Data'!AG7="No data"),"x",IF('Indicator Data'!AG7&gt;F$150,0,IF('Indicator Data'!AG7&lt;F$149,10,(F$150-'Indicator Data'!AG7)/(F$150-F$149)*10)))</f>
        <v>5.29</v>
      </c>
      <c r="G5" s="144">
        <f>IF(OR('Indicator Data'!AE7=0,'Indicator Data'!AE7="No data"),"x",IF('Indicator Data'!AE7&gt;G$150,0,IF('Indicator Data'!AE7&lt;G$149,10,(G$150-'Indicator Data'!AE7)/(G$150-G$149)*10)))</f>
        <v>9.7799999999999994</v>
      </c>
      <c r="H5" s="144">
        <f>IF(OR('Indicator Data'!AF7=0,'Indicator Data'!AF7="No data"),"x",IF('Indicator Data'!AF7&gt;H$150,0,IF('Indicator Data'!AF7&lt;H$149,10,(H$150-'Indicator Data'!AF7)/(H$150-H$149)*10)))</f>
        <v>6.15</v>
      </c>
      <c r="I5" s="144">
        <f t="shared" si="0"/>
        <v>7.0733333333333333</v>
      </c>
      <c r="J5" s="49">
        <f t="shared" si="2"/>
        <v>8.4718895576032551</v>
      </c>
      <c r="K5" s="13">
        <f>IF('Indicator Data'!K7="No data","x",IF('Indicator Data'!K7&gt;K$150,10,IF('Indicator Data'!K7&lt;K$149,0,10-(K$150-'Indicator Data'!K7)/(K$150-K$149)*10)))</f>
        <v>6.6848861579211238</v>
      </c>
      <c r="L5" s="13">
        <f>IF('Indicator Data'!L7="No data","x",IF('Indicator Data'!L7&gt;L$150,10,IF('Indicator Data'!L7&lt;L$149,0,10-(L$150-'Indicator Data'!L7)/(L$150-L$149)*10)))</f>
        <v>2.0674999999999999</v>
      </c>
      <c r="M5" s="13">
        <f>IF('Indicator Data'!M7="No data","x",IF('Indicator Data'!M7&gt;M$150,10,IF('Indicator Data'!M7&lt;M$149,0,10-(M$150-'Indicator Data'!M7)/(M$150-M$149)*10)))</f>
        <v>3.1764200000000011</v>
      </c>
      <c r="N5" s="144"/>
      <c r="O5" s="49">
        <f t="shared" si="3"/>
        <v>3.9762687193070412</v>
      </c>
      <c r="P5" s="42">
        <f t="shared" si="4"/>
        <v>6.9733492781711837</v>
      </c>
      <c r="Q5" s="33">
        <f>'Indicator Data'!AA7</f>
        <v>0</v>
      </c>
      <c r="R5" s="13">
        <f t="shared" si="5"/>
        <v>0</v>
      </c>
      <c r="S5" s="38">
        <f>Q5/'Indicator Data'!AN7</f>
        <v>0</v>
      </c>
      <c r="T5" s="13">
        <f t="shared" si="6"/>
        <v>0</v>
      </c>
      <c r="U5" s="14">
        <f t="shared" si="7"/>
        <v>0</v>
      </c>
      <c r="V5" s="33">
        <f>IF('Indicator Data'!Z7="",VLOOKUP($B5,'Indicator Data (national)'!$B$5:$AA$14,26,FALSE),'Indicator Data'!Z7)</f>
        <v>78900</v>
      </c>
      <c r="W5" s="13">
        <f t="shared" si="8"/>
        <v>6.3235900106980685</v>
      </c>
      <c r="X5" s="38">
        <f>IF('Indicator Data'!Z7="",V5/VLOOKUP($B5,'Indicator Data (national)'!$B$5:$AM$14,38,FALSE),V5/'Indicator Data'!AN7)</f>
        <v>7.7638131914369371E-3</v>
      </c>
      <c r="Y5" s="13">
        <f t="shared" si="9"/>
        <v>5.2880881693640287</v>
      </c>
      <c r="Z5" s="14">
        <f t="shared" si="10"/>
        <v>5.8058390900310481</v>
      </c>
      <c r="AA5" s="149">
        <f t="shared" si="11"/>
        <v>2.9029195450155241</v>
      </c>
      <c r="AB5" s="33">
        <f>VLOOKUP($B5,'Indicator Data (national)'!$B$5:$Z$14,25,FALSE)+VLOOKUP($B5,'Indicator Data (national)'!$B$5:$Z$14,24,FALSE)*0.5+VLOOKUP($B5,'Indicator Data (national)'!$B$5:$Z$14,23,FALSE)*0.25</f>
        <v>12682</v>
      </c>
      <c r="AC5" s="39">
        <f>AB5/VLOOKUP($B5,'Indicator Data (national)'!$B$5:$AM$14,38,FALSE)</f>
        <v>1.2479173497313464E-3</v>
      </c>
      <c r="AD5" s="49">
        <f t="shared" si="12"/>
        <v>0.12479173497313489</v>
      </c>
      <c r="AE5" s="13">
        <f>IF('Indicator Data'!V7="No data","x",IF(('Indicator Data'!V7)&gt;AE$150,10,IF(('Indicator Data'!V7)&lt;AE$149,0,10-(AE$150-('Indicator Data'!V7))/(AE$150-AE$149)*10)))</f>
        <v>7.3684210526315788</v>
      </c>
      <c r="AF5" s="49">
        <f t="shared" si="13"/>
        <v>7.3684210526315788</v>
      </c>
      <c r="AG5" s="34">
        <f t="shared" si="14"/>
        <v>4.6987489637934257</v>
      </c>
      <c r="AH5" s="52">
        <f t="shared" si="1"/>
        <v>5.2785023046508837</v>
      </c>
    </row>
    <row r="6" spans="1:34" s="11" customFormat="1" x14ac:dyDescent="0.25">
      <c r="A6" s="16" t="s">
        <v>334</v>
      </c>
      <c r="B6" s="126" t="s">
        <v>572</v>
      </c>
      <c r="C6" s="16" t="s">
        <v>335</v>
      </c>
      <c r="D6" s="13">
        <f>IF('Indicator Data'!I8="No data","x",IF('Indicator Data'!I8&gt;D$150,0,IF('Indicator Data'!I8&lt;D$149,10,(D$150-'Indicator Data'!I8)/(D$150-D$149)*10)))</f>
        <v>8.6239462288070516</v>
      </c>
      <c r="E6" s="13">
        <f>IF('Indicator Data'!J8="No data","x",IF('Indicator Data'!J8&gt;E$150,10,IF('Indicator Data'!J8&lt;E$149,0,10-(E$150-'Indicator Data'!J8)/(E$150-E$149)*10)))</f>
        <v>7.0327849999999996</v>
      </c>
      <c r="F6" s="144">
        <f>IF(OR('Indicator Data'!AG8=0,'Indicator Data'!AG8="No data"),"x",IF('Indicator Data'!AG8&gt;F$150,0,IF('Indicator Data'!AG8&lt;F$149,10,(F$150-'Indicator Data'!AG8)/(F$150-F$149)*10)))</f>
        <v>4.8499999999999996</v>
      </c>
      <c r="G6" s="144">
        <f>IF(OR('Indicator Data'!AE8=0,'Indicator Data'!AE8="No data"),"x",IF('Indicator Data'!AE8&gt;G$150,0,IF('Indicator Data'!AE8&lt;G$149,10,(G$150-'Indicator Data'!AE8)/(G$150-G$149)*10)))</f>
        <v>9.629999999999999</v>
      </c>
      <c r="H6" s="144">
        <f>IF(OR('Indicator Data'!AF8=0,'Indicator Data'!AF8="No data"),"x",IF('Indicator Data'!AF8&gt;H$150,0,IF('Indicator Data'!AF8&lt;H$149,10,(H$150-'Indicator Data'!AF8)/(H$150-H$149)*10)))</f>
        <v>4.9000000000000004</v>
      </c>
      <c r="I6" s="144">
        <f t="shared" si="0"/>
        <v>6.46</v>
      </c>
      <c r="J6" s="49">
        <f t="shared" si="2"/>
        <v>7.9262297189491928</v>
      </c>
      <c r="K6" s="13">
        <f>IF('Indicator Data'!K8="No data","x",IF('Indicator Data'!K8&gt;K$150,10,IF('Indicator Data'!K8&lt;K$149,0,10-(K$150-'Indicator Data'!K8)/(K$150-K$149)*10)))</f>
        <v>6.6848861579211238</v>
      </c>
      <c r="L6" s="13">
        <f>IF('Indicator Data'!L8="No data","x",IF('Indicator Data'!L8&gt;L$150,10,IF('Indicator Data'!L8&lt;L$149,0,10-(L$150-'Indicator Data'!L8)/(L$150-L$149)*10)))</f>
        <v>2.0674999999999999</v>
      </c>
      <c r="M6" s="13">
        <f>IF('Indicator Data'!M8="No data","x",IF('Indicator Data'!M8&gt;M$150,10,IF('Indicator Data'!M8&lt;M$149,0,10-(M$150-'Indicator Data'!M8)/(M$150-M$149)*10)))</f>
        <v>2.9201160000000002</v>
      </c>
      <c r="N6" s="144"/>
      <c r="O6" s="49">
        <f t="shared" si="3"/>
        <v>3.8908340526403742</v>
      </c>
      <c r="P6" s="42">
        <f t="shared" si="4"/>
        <v>6.581097830179587</v>
      </c>
      <c r="Q6" s="33">
        <f>'Indicator Data'!AA8</f>
        <v>0</v>
      </c>
      <c r="R6" s="13">
        <f t="shared" si="5"/>
        <v>0</v>
      </c>
      <c r="S6" s="38">
        <f>Q6/'Indicator Data'!AN8</f>
        <v>0</v>
      </c>
      <c r="T6" s="13">
        <f t="shared" si="6"/>
        <v>0</v>
      </c>
      <c r="U6" s="14">
        <f t="shared" si="7"/>
        <v>0</v>
      </c>
      <c r="V6" s="33">
        <f>IF('Indicator Data'!Z8="",VLOOKUP($B6,'Indicator Data (national)'!$B$5:$AA$14,26,FALSE),'Indicator Data'!Z8)</f>
        <v>78900</v>
      </c>
      <c r="W6" s="13">
        <f t="shared" si="8"/>
        <v>6.3235900106980685</v>
      </c>
      <c r="X6" s="38">
        <f>IF('Indicator Data'!Z8="",V6/VLOOKUP($B6,'Indicator Data (national)'!$B$5:$AM$14,38,FALSE),V6/'Indicator Data'!AN8)</f>
        <v>7.7638131914369371E-3</v>
      </c>
      <c r="Y6" s="13">
        <f t="shared" si="9"/>
        <v>5.2880881693640287</v>
      </c>
      <c r="Z6" s="14">
        <f t="shared" si="10"/>
        <v>5.8058390900310481</v>
      </c>
      <c r="AA6" s="149">
        <f t="shared" si="11"/>
        <v>2.9029195450155241</v>
      </c>
      <c r="AB6" s="33">
        <f>VLOOKUP($B6,'Indicator Data (national)'!$B$5:$Z$14,25,FALSE)+VLOOKUP($B6,'Indicator Data (national)'!$B$5:$Z$14,24,FALSE)*0.5+VLOOKUP($B6,'Indicator Data (national)'!$B$5:$Z$14,23,FALSE)*0.25</f>
        <v>12682</v>
      </c>
      <c r="AC6" s="39">
        <f>AB6/VLOOKUP($B6,'Indicator Data (national)'!$B$5:$AM$14,38,FALSE)</f>
        <v>1.2479173497313464E-3</v>
      </c>
      <c r="AD6" s="49">
        <f t="shared" si="12"/>
        <v>0.12479173497313489</v>
      </c>
      <c r="AE6" s="13">
        <f>IF('Indicator Data'!V8="No data","x",IF(('Indicator Data'!V8)&gt;AE$150,10,IF(('Indicator Data'!V8)&lt;AE$149,0,10-(AE$150-('Indicator Data'!V8))/(AE$150-AE$149)*10)))</f>
        <v>7.3684210526315788</v>
      </c>
      <c r="AF6" s="49">
        <f t="shared" si="13"/>
        <v>7.3684210526315788</v>
      </c>
      <c r="AG6" s="34">
        <f t="shared" si="14"/>
        <v>4.6987489637934257</v>
      </c>
      <c r="AH6" s="52">
        <f t="shared" si="1"/>
        <v>5.2785023046508837</v>
      </c>
    </row>
    <row r="7" spans="1:34" s="11" customFormat="1" x14ac:dyDescent="0.25">
      <c r="A7" s="16" t="s">
        <v>336</v>
      </c>
      <c r="B7" s="126" t="s">
        <v>572</v>
      </c>
      <c r="C7" s="16" t="s">
        <v>337</v>
      </c>
      <c r="D7" s="13">
        <f>IF('Indicator Data'!I9="No data","x",IF('Indicator Data'!I9&gt;D$150,0,IF('Indicator Data'!I9&lt;D$149,10,(D$150-'Indicator Data'!I9)/(D$150-D$149)*10)))</f>
        <v>8.6239462288070516</v>
      </c>
      <c r="E7" s="13">
        <f>IF('Indicator Data'!J9="No data","x",IF('Indicator Data'!J9&gt;E$150,10,IF('Indicator Data'!J9&lt;E$149,0,10-(E$150-'Indicator Data'!J9)/(E$150-E$149)*10)))</f>
        <v>7.877298333333334</v>
      </c>
      <c r="F7" s="144">
        <f>IF(OR('Indicator Data'!AG9=0,'Indicator Data'!AG9="No data"),"x",IF('Indicator Data'!AG9&gt;F$150,0,IF('Indicator Data'!AG9&lt;F$149,10,(F$150-'Indicator Data'!AG9)/(F$150-F$149)*10)))</f>
        <v>4.4400000000000004</v>
      </c>
      <c r="G7" s="144">
        <f>IF(OR('Indicator Data'!AE9=0,'Indicator Data'!AE9="No data"),"x",IF('Indicator Data'!AE9&gt;G$150,0,IF('Indicator Data'!AE9&lt;G$149,10,(G$150-'Indicator Data'!AE9)/(G$150-G$149)*10)))</f>
        <v>9.75</v>
      </c>
      <c r="H7" s="144">
        <f>IF(OR('Indicator Data'!AF9=0,'Indicator Data'!AF9="No data"),"x",IF('Indicator Data'!AF9&gt;H$150,0,IF('Indicator Data'!AF9&lt;H$149,10,(H$150-'Indicator Data'!AF9)/(H$150-H$149)*10)))</f>
        <v>5.9499999999999993</v>
      </c>
      <c r="I7" s="144">
        <f t="shared" si="0"/>
        <v>6.7133333333333338</v>
      </c>
      <c r="J7" s="49">
        <f t="shared" si="2"/>
        <v>8.2750882662039995</v>
      </c>
      <c r="K7" s="13">
        <f>IF('Indicator Data'!K9="No data","x",IF('Indicator Data'!K9&gt;K$150,10,IF('Indicator Data'!K9&lt;K$149,0,10-(K$150-'Indicator Data'!K9)/(K$150-K$149)*10)))</f>
        <v>6.6848861579211238</v>
      </c>
      <c r="L7" s="13">
        <f>IF('Indicator Data'!L9="No data","x",IF('Indicator Data'!L9&gt;L$150,10,IF('Indicator Data'!L9&lt;L$149,0,10-(L$150-'Indicator Data'!L9)/(L$150-L$149)*10)))</f>
        <v>2.0674999999999999</v>
      </c>
      <c r="M7" s="13">
        <f>IF('Indicator Data'!M9="No data","x",IF('Indicator Data'!M9&gt;M$150,10,IF('Indicator Data'!M9&lt;M$149,0,10-(M$150-'Indicator Data'!M9)/(M$150-M$149)*10)))</f>
        <v>3.0110493333333332</v>
      </c>
      <c r="N7" s="144"/>
      <c r="O7" s="49">
        <f t="shared" si="3"/>
        <v>3.9211451637514849</v>
      </c>
      <c r="P7" s="42">
        <f t="shared" si="4"/>
        <v>6.8237738987198284</v>
      </c>
      <c r="Q7" s="33">
        <f>'Indicator Data'!AA9</f>
        <v>0</v>
      </c>
      <c r="R7" s="13">
        <f t="shared" si="5"/>
        <v>0</v>
      </c>
      <c r="S7" s="38">
        <f>Q7/'Indicator Data'!AN9</f>
        <v>0</v>
      </c>
      <c r="T7" s="13">
        <f t="shared" si="6"/>
        <v>0</v>
      </c>
      <c r="U7" s="14">
        <f t="shared" si="7"/>
        <v>0</v>
      </c>
      <c r="V7" s="33">
        <f>IF('Indicator Data'!Z9="",VLOOKUP($B7,'Indicator Data (national)'!$B$5:$AA$14,26,FALSE),'Indicator Data'!Z9)</f>
        <v>78900</v>
      </c>
      <c r="W7" s="13">
        <f t="shared" si="8"/>
        <v>6.3235900106980685</v>
      </c>
      <c r="X7" s="38">
        <f>IF('Indicator Data'!Z9="",V7/VLOOKUP($B7,'Indicator Data (national)'!$B$5:$AM$14,38,FALSE),V7/'Indicator Data'!AN9)</f>
        <v>7.7638131914369371E-3</v>
      </c>
      <c r="Y7" s="13">
        <f t="shared" si="9"/>
        <v>5.2880881693640287</v>
      </c>
      <c r="Z7" s="14">
        <f t="shared" si="10"/>
        <v>5.8058390900310481</v>
      </c>
      <c r="AA7" s="149">
        <f t="shared" si="11"/>
        <v>2.9029195450155241</v>
      </c>
      <c r="AB7" s="33">
        <f>VLOOKUP($B7,'Indicator Data (national)'!$B$5:$Z$14,25,FALSE)+VLOOKUP($B7,'Indicator Data (national)'!$B$5:$Z$14,24,FALSE)*0.5+VLOOKUP($B7,'Indicator Data (national)'!$B$5:$Z$14,23,FALSE)*0.25</f>
        <v>12682</v>
      </c>
      <c r="AC7" s="39">
        <f>AB7/VLOOKUP($B7,'Indicator Data (national)'!$B$5:$AM$14,38,FALSE)</f>
        <v>1.2479173497313464E-3</v>
      </c>
      <c r="AD7" s="49">
        <f t="shared" si="12"/>
        <v>0.12479173497313489</v>
      </c>
      <c r="AE7" s="13">
        <f>IF('Indicator Data'!V9="No data","x",IF(('Indicator Data'!V9)&gt;AE$150,10,IF(('Indicator Data'!V9)&lt;AE$149,0,10-(AE$150-('Indicator Data'!V9))/(AE$150-AE$149)*10)))</f>
        <v>7.3684210526315788</v>
      </c>
      <c r="AF7" s="49">
        <f t="shared" si="13"/>
        <v>7.3684210526315788</v>
      </c>
      <c r="AG7" s="34">
        <f t="shared" si="14"/>
        <v>4.6987489637934257</v>
      </c>
      <c r="AH7" s="52">
        <f t="shared" si="1"/>
        <v>5.2785023046508837</v>
      </c>
    </row>
    <row r="8" spans="1:34" s="11" customFormat="1" x14ac:dyDescent="0.25">
      <c r="A8" s="16" t="s">
        <v>338</v>
      </c>
      <c r="B8" s="126" t="s">
        <v>572</v>
      </c>
      <c r="C8" s="16" t="s">
        <v>339</v>
      </c>
      <c r="D8" s="13">
        <f>IF('Indicator Data'!I10="No data","x",IF('Indicator Data'!I10&gt;D$150,0,IF('Indicator Data'!I10&lt;D$149,10,(D$150-'Indicator Data'!I10)/(D$150-D$149)*10)))</f>
        <v>8.6239462288070516</v>
      </c>
      <c r="E8" s="13">
        <f>IF('Indicator Data'!J10="No data","x",IF('Indicator Data'!J10&gt;E$150,10,IF('Indicator Data'!J10&lt;E$149,0,10-(E$150-'Indicator Data'!J10)/(E$150-E$149)*10)))</f>
        <v>8.3105366666666676</v>
      </c>
      <c r="F8" s="144">
        <f>IF(OR('Indicator Data'!AG10=0,'Indicator Data'!AG10="No data"),"x",IF('Indicator Data'!AG10&gt;F$150,0,IF('Indicator Data'!AG10&lt;F$149,10,(F$150-'Indicator Data'!AG10)/(F$150-F$149)*10)))</f>
        <v>5.29</v>
      </c>
      <c r="G8" s="144">
        <f>IF(OR('Indicator Data'!AE10=0,'Indicator Data'!AE10="No data"),"x",IF('Indicator Data'!AE10&gt;G$150,0,IF('Indicator Data'!AE10&lt;G$149,10,(G$150-'Indicator Data'!AE10)/(G$150-G$149)*10)))</f>
        <v>9.7799999999999994</v>
      </c>
      <c r="H8" s="144">
        <f>IF(OR('Indicator Data'!AF10=0,'Indicator Data'!AF10="No data"),"x",IF('Indicator Data'!AF10&gt;H$150,0,IF('Indicator Data'!AF10&lt;H$149,10,(H$150-'Indicator Data'!AF10)/(H$150-H$149)*10)))</f>
        <v>6.15</v>
      </c>
      <c r="I8" s="144">
        <f t="shared" si="0"/>
        <v>7.0733333333333333</v>
      </c>
      <c r="J8" s="49">
        <f t="shared" si="2"/>
        <v>8.4718895576032551</v>
      </c>
      <c r="K8" s="13">
        <f>IF('Indicator Data'!K10="No data","x",IF('Indicator Data'!K10&gt;K$150,10,IF('Indicator Data'!K10&lt;K$149,0,10-(K$150-'Indicator Data'!K10)/(K$150-K$149)*10)))</f>
        <v>6.6848861579211238</v>
      </c>
      <c r="L8" s="13">
        <f>IF('Indicator Data'!L10="No data","x",IF('Indicator Data'!L10&gt;L$150,10,IF('Indicator Data'!L10&lt;L$149,0,10-(L$150-'Indicator Data'!L10)/(L$150-L$149)*10)))</f>
        <v>2.0674999999999999</v>
      </c>
      <c r="M8" s="13">
        <f>IF('Indicator Data'!M10="No data","x",IF('Indicator Data'!M10&gt;M$150,10,IF('Indicator Data'!M10&lt;M$149,0,10-(M$150-'Indicator Data'!M10)/(M$150-M$149)*10)))</f>
        <v>3.1764200000000011</v>
      </c>
      <c r="N8" s="144"/>
      <c r="O8" s="49">
        <f t="shared" si="3"/>
        <v>3.9762687193070412</v>
      </c>
      <c r="P8" s="42">
        <f t="shared" si="4"/>
        <v>6.9733492781711837</v>
      </c>
      <c r="Q8" s="33">
        <f>'Indicator Data'!AA10</f>
        <v>0</v>
      </c>
      <c r="R8" s="13">
        <f t="shared" si="5"/>
        <v>0</v>
      </c>
      <c r="S8" s="38">
        <f>Q8/'Indicator Data'!AN10</f>
        <v>0</v>
      </c>
      <c r="T8" s="13">
        <f t="shared" si="6"/>
        <v>0</v>
      </c>
      <c r="U8" s="14">
        <f t="shared" si="7"/>
        <v>0</v>
      </c>
      <c r="V8" s="33">
        <f>IF('Indicator Data'!Z10="",VLOOKUP($B8,'Indicator Data (national)'!$B$5:$AA$14,26,FALSE),'Indicator Data'!Z10)</f>
        <v>78900</v>
      </c>
      <c r="W8" s="13">
        <f t="shared" si="8"/>
        <v>6.3235900106980685</v>
      </c>
      <c r="X8" s="38">
        <f>IF('Indicator Data'!Z10="",V8/VLOOKUP($B8,'Indicator Data (national)'!$B$5:$AM$14,38,FALSE),V8/'Indicator Data'!AN10)</f>
        <v>7.7638131914369371E-3</v>
      </c>
      <c r="Y8" s="13">
        <f t="shared" si="9"/>
        <v>5.2880881693640287</v>
      </c>
      <c r="Z8" s="14">
        <f t="shared" si="10"/>
        <v>5.8058390900310481</v>
      </c>
      <c r="AA8" s="149">
        <f t="shared" si="11"/>
        <v>2.9029195450155241</v>
      </c>
      <c r="AB8" s="33">
        <f>VLOOKUP($B8,'Indicator Data (national)'!$B$5:$Z$14,25,FALSE)+VLOOKUP($B8,'Indicator Data (national)'!$B$5:$Z$14,24,FALSE)*0.5+VLOOKUP($B8,'Indicator Data (national)'!$B$5:$Z$14,23,FALSE)*0.25</f>
        <v>12682</v>
      </c>
      <c r="AC8" s="39">
        <f>AB8/VLOOKUP($B8,'Indicator Data (national)'!$B$5:$AM$14,38,FALSE)</f>
        <v>1.2479173497313464E-3</v>
      </c>
      <c r="AD8" s="49">
        <f t="shared" si="12"/>
        <v>0.12479173497313489</v>
      </c>
      <c r="AE8" s="13">
        <f>IF('Indicator Data'!V10="No data","x",IF(('Indicator Data'!V10)&gt;AE$150,10,IF(('Indicator Data'!V10)&lt;AE$149,0,10-(AE$150-('Indicator Data'!V10))/(AE$150-AE$149)*10)))</f>
        <v>7.3684210526315788</v>
      </c>
      <c r="AF8" s="49">
        <f t="shared" si="13"/>
        <v>7.3684210526315788</v>
      </c>
      <c r="AG8" s="34">
        <f t="shared" si="14"/>
        <v>4.6987489637934257</v>
      </c>
      <c r="AH8" s="52">
        <f t="shared" si="1"/>
        <v>5.2785023046508837</v>
      </c>
    </row>
    <row r="9" spans="1:34" s="11" customFormat="1" x14ac:dyDescent="0.25">
      <c r="A9" s="16" t="s">
        <v>340</v>
      </c>
      <c r="B9" s="126" t="s">
        <v>572</v>
      </c>
      <c r="C9" s="16" t="s">
        <v>341</v>
      </c>
      <c r="D9" s="13">
        <f>IF('Indicator Data'!I11="No data","x",IF('Indicator Data'!I11&gt;D$150,0,IF('Indicator Data'!I11&lt;D$149,10,(D$150-'Indicator Data'!I11)/(D$150-D$149)*10)))</f>
        <v>8.6239462288070516</v>
      </c>
      <c r="E9" s="13">
        <f>IF('Indicator Data'!J11="No data","x",IF('Indicator Data'!J11&gt;E$150,10,IF('Indicator Data'!J11&lt;E$149,0,10-(E$150-'Indicator Data'!J11)/(E$150-E$149)*10)))</f>
        <v>7.877298333333334</v>
      </c>
      <c r="F9" s="144">
        <f>IF(OR('Indicator Data'!AG11=0,'Indicator Data'!AG11="No data"),"x",IF('Indicator Data'!AG11&gt;F$150,0,IF('Indicator Data'!AG11&lt;F$149,10,(F$150-'Indicator Data'!AG11)/(F$150-F$149)*10)))</f>
        <v>4.4400000000000004</v>
      </c>
      <c r="G9" s="144">
        <f>IF(OR('Indicator Data'!AE11=0,'Indicator Data'!AE11="No data"),"x",IF('Indicator Data'!AE11&gt;G$150,0,IF('Indicator Data'!AE11&lt;G$149,10,(G$150-'Indicator Data'!AE11)/(G$150-G$149)*10)))</f>
        <v>9.75</v>
      </c>
      <c r="H9" s="144">
        <f>IF(OR('Indicator Data'!AF11=0,'Indicator Data'!AF11="No data"),"x",IF('Indicator Data'!AF11&gt;H$150,0,IF('Indicator Data'!AF11&lt;H$149,10,(H$150-'Indicator Data'!AF11)/(H$150-H$149)*10)))</f>
        <v>5.9499999999999993</v>
      </c>
      <c r="I9" s="144">
        <f t="shared" si="0"/>
        <v>6.7133333333333338</v>
      </c>
      <c r="J9" s="49">
        <f t="shared" si="2"/>
        <v>8.2750882662039995</v>
      </c>
      <c r="K9" s="13">
        <f>IF('Indicator Data'!K11="No data","x",IF('Indicator Data'!K11&gt;K$150,10,IF('Indicator Data'!K11&lt;K$149,0,10-(K$150-'Indicator Data'!K11)/(K$150-K$149)*10)))</f>
        <v>6.6848861579211238</v>
      </c>
      <c r="L9" s="13">
        <f>IF('Indicator Data'!L11="No data","x",IF('Indicator Data'!L11&gt;L$150,10,IF('Indicator Data'!L11&lt;L$149,0,10-(L$150-'Indicator Data'!L11)/(L$150-L$149)*10)))</f>
        <v>2.0674999999999999</v>
      </c>
      <c r="M9" s="13">
        <f>IF('Indicator Data'!M11="No data","x",IF('Indicator Data'!M11&gt;M$150,10,IF('Indicator Data'!M11&lt;M$149,0,10-(M$150-'Indicator Data'!M11)/(M$150-M$149)*10)))</f>
        <v>3.0110493333333332</v>
      </c>
      <c r="N9" s="144"/>
      <c r="O9" s="49">
        <f t="shared" si="3"/>
        <v>3.9211451637514849</v>
      </c>
      <c r="P9" s="42">
        <f t="shared" si="4"/>
        <v>6.8237738987198284</v>
      </c>
      <c r="Q9" s="33">
        <f>'Indicator Data'!AA11</f>
        <v>0</v>
      </c>
      <c r="R9" s="13">
        <f t="shared" si="5"/>
        <v>0</v>
      </c>
      <c r="S9" s="38">
        <f>Q9/'Indicator Data'!AN11</f>
        <v>0</v>
      </c>
      <c r="T9" s="13">
        <f t="shared" si="6"/>
        <v>0</v>
      </c>
      <c r="U9" s="14">
        <f t="shared" si="7"/>
        <v>0</v>
      </c>
      <c r="V9" s="33">
        <f>IF('Indicator Data'!Z11="",VLOOKUP($B9,'Indicator Data (national)'!$B$5:$AA$14,26,FALSE),'Indicator Data'!Z11)</f>
        <v>78900</v>
      </c>
      <c r="W9" s="13">
        <f t="shared" si="8"/>
        <v>6.3235900106980685</v>
      </c>
      <c r="X9" s="38">
        <f>IF('Indicator Data'!Z11="",V9/VLOOKUP($B9,'Indicator Data (national)'!$B$5:$AM$14,38,FALSE),V9/'Indicator Data'!AN11)</f>
        <v>7.7638131914369371E-3</v>
      </c>
      <c r="Y9" s="13">
        <f t="shared" si="9"/>
        <v>5.2880881693640287</v>
      </c>
      <c r="Z9" s="14">
        <f t="shared" si="10"/>
        <v>5.8058390900310481</v>
      </c>
      <c r="AA9" s="149">
        <f t="shared" si="11"/>
        <v>2.9029195450155241</v>
      </c>
      <c r="AB9" s="33">
        <f>VLOOKUP($B9,'Indicator Data (national)'!$B$5:$Z$14,25,FALSE)+VLOOKUP($B9,'Indicator Data (national)'!$B$5:$Z$14,24,FALSE)*0.5+VLOOKUP($B9,'Indicator Data (national)'!$B$5:$Z$14,23,FALSE)*0.25</f>
        <v>12682</v>
      </c>
      <c r="AC9" s="39">
        <f>AB9/VLOOKUP($B9,'Indicator Data (national)'!$B$5:$AM$14,38,FALSE)</f>
        <v>1.2479173497313464E-3</v>
      </c>
      <c r="AD9" s="49">
        <f t="shared" si="12"/>
        <v>0.12479173497313489</v>
      </c>
      <c r="AE9" s="13">
        <f>IF('Indicator Data'!V11="No data","x",IF(('Indicator Data'!V11)&gt;AE$150,10,IF(('Indicator Data'!V11)&lt;AE$149,0,10-(AE$150-('Indicator Data'!V11))/(AE$150-AE$149)*10)))</f>
        <v>7.3684210526315788</v>
      </c>
      <c r="AF9" s="49">
        <f t="shared" si="13"/>
        <v>7.3684210526315788</v>
      </c>
      <c r="AG9" s="34">
        <f t="shared" si="14"/>
        <v>4.6987489637934257</v>
      </c>
      <c r="AH9" s="52">
        <f t="shared" si="1"/>
        <v>5.2785023046508837</v>
      </c>
    </row>
    <row r="10" spans="1:34" s="11" customFormat="1" x14ac:dyDescent="0.25">
      <c r="A10" s="16" t="s">
        <v>342</v>
      </c>
      <c r="B10" s="126" t="s">
        <v>572</v>
      </c>
      <c r="C10" s="16" t="s">
        <v>343</v>
      </c>
      <c r="D10" s="13">
        <f>IF('Indicator Data'!I12="No data","x",IF('Indicator Data'!I12&gt;D$150,0,IF('Indicator Data'!I12&lt;D$149,10,(D$150-'Indicator Data'!I12)/(D$150-D$149)*10)))</f>
        <v>8.6239462288070516</v>
      </c>
      <c r="E10" s="13">
        <f>IF('Indicator Data'!J12="No data","x",IF('Indicator Data'!J12&gt;E$150,10,IF('Indicator Data'!J12&lt;E$149,0,10-(E$150-'Indicator Data'!J12)/(E$150-E$149)*10)))</f>
        <v>7.877298333333334</v>
      </c>
      <c r="F10" s="144">
        <f>IF(OR('Indicator Data'!AG12=0,'Indicator Data'!AG12="No data"),"x",IF('Indicator Data'!AG12&gt;F$150,0,IF('Indicator Data'!AG12&lt;F$149,10,(F$150-'Indicator Data'!AG12)/(F$150-F$149)*10)))</f>
        <v>4.4400000000000004</v>
      </c>
      <c r="G10" s="144">
        <f>IF(OR('Indicator Data'!AE12=0,'Indicator Data'!AE12="No data"),"x",IF('Indicator Data'!AE12&gt;G$150,0,IF('Indicator Data'!AE12&lt;G$149,10,(G$150-'Indicator Data'!AE12)/(G$150-G$149)*10)))</f>
        <v>9.75</v>
      </c>
      <c r="H10" s="144">
        <f>IF(OR('Indicator Data'!AF12=0,'Indicator Data'!AF12="No data"),"x",IF('Indicator Data'!AF12&gt;H$150,0,IF('Indicator Data'!AF12&lt;H$149,10,(H$150-'Indicator Data'!AF12)/(H$150-H$149)*10)))</f>
        <v>5.9499999999999993</v>
      </c>
      <c r="I10" s="144">
        <f t="shared" si="0"/>
        <v>6.7133333333333338</v>
      </c>
      <c r="J10" s="49">
        <f t="shared" si="2"/>
        <v>8.2750882662039995</v>
      </c>
      <c r="K10" s="13">
        <f>IF('Indicator Data'!K12="No data","x",IF('Indicator Data'!K12&gt;K$150,10,IF('Indicator Data'!K12&lt;K$149,0,10-(K$150-'Indicator Data'!K12)/(K$150-K$149)*10)))</f>
        <v>6.6848861579211238</v>
      </c>
      <c r="L10" s="13">
        <f>IF('Indicator Data'!L12="No data","x",IF('Indicator Data'!L12&gt;L$150,10,IF('Indicator Data'!L12&lt;L$149,0,10-(L$150-'Indicator Data'!L12)/(L$150-L$149)*10)))</f>
        <v>2.0674999999999999</v>
      </c>
      <c r="M10" s="13">
        <f>IF('Indicator Data'!M12="No data","x",IF('Indicator Data'!M12&gt;M$150,10,IF('Indicator Data'!M12&lt;M$149,0,10-(M$150-'Indicator Data'!M12)/(M$150-M$149)*10)))</f>
        <v>3.0110493333333332</v>
      </c>
      <c r="N10" s="144"/>
      <c r="O10" s="49">
        <f t="shared" si="3"/>
        <v>3.9211451637514849</v>
      </c>
      <c r="P10" s="42">
        <f t="shared" si="4"/>
        <v>6.8237738987198284</v>
      </c>
      <c r="Q10" s="33">
        <f>'Indicator Data'!AA12</f>
        <v>0</v>
      </c>
      <c r="R10" s="13">
        <f t="shared" si="5"/>
        <v>0</v>
      </c>
      <c r="S10" s="38">
        <f>Q10/'Indicator Data'!AN12</f>
        <v>0</v>
      </c>
      <c r="T10" s="13">
        <f t="shared" si="6"/>
        <v>0</v>
      </c>
      <c r="U10" s="14">
        <f t="shared" si="7"/>
        <v>0</v>
      </c>
      <c r="V10" s="33">
        <f>IF('Indicator Data'!Z12="",VLOOKUP($B10,'Indicator Data (national)'!$B$5:$AA$14,26,FALSE),'Indicator Data'!Z12)</f>
        <v>78900</v>
      </c>
      <c r="W10" s="13">
        <f t="shared" si="8"/>
        <v>6.3235900106980685</v>
      </c>
      <c r="X10" s="38">
        <f>IF('Indicator Data'!Z12="",V10/VLOOKUP($B10,'Indicator Data (national)'!$B$5:$AM$14,38,FALSE),V10/'Indicator Data'!AN12)</f>
        <v>7.7638131914369371E-3</v>
      </c>
      <c r="Y10" s="13">
        <f t="shared" si="9"/>
        <v>5.2880881693640287</v>
      </c>
      <c r="Z10" s="14">
        <f t="shared" si="10"/>
        <v>5.8058390900310481</v>
      </c>
      <c r="AA10" s="149">
        <f t="shared" si="11"/>
        <v>2.9029195450155241</v>
      </c>
      <c r="AB10" s="33">
        <f>VLOOKUP($B10,'Indicator Data (national)'!$B$5:$Z$14,25,FALSE)+VLOOKUP($B10,'Indicator Data (national)'!$B$5:$Z$14,24,FALSE)*0.5+VLOOKUP($B10,'Indicator Data (national)'!$B$5:$Z$14,23,FALSE)*0.25</f>
        <v>12682</v>
      </c>
      <c r="AC10" s="39">
        <f>AB10/VLOOKUP($B10,'Indicator Data (national)'!$B$5:$AM$14,38,FALSE)</f>
        <v>1.2479173497313464E-3</v>
      </c>
      <c r="AD10" s="49">
        <f t="shared" si="12"/>
        <v>0.12479173497313489</v>
      </c>
      <c r="AE10" s="13">
        <f>IF('Indicator Data'!V12="No data","x",IF(('Indicator Data'!V12)&gt;AE$150,10,IF(('Indicator Data'!V12)&lt;AE$149,0,10-(AE$150-('Indicator Data'!V12))/(AE$150-AE$149)*10)))</f>
        <v>7.3684210526315788</v>
      </c>
      <c r="AF10" s="49">
        <f t="shared" si="13"/>
        <v>7.3684210526315788</v>
      </c>
      <c r="AG10" s="34">
        <f t="shared" si="14"/>
        <v>4.6987489637934257</v>
      </c>
      <c r="AH10" s="52">
        <f t="shared" si="1"/>
        <v>5.2785023046508837</v>
      </c>
    </row>
    <row r="11" spans="1:34" s="11" customFormat="1" x14ac:dyDescent="0.25">
      <c r="A11" s="16" t="s">
        <v>344</v>
      </c>
      <c r="B11" s="126" t="s">
        <v>572</v>
      </c>
      <c r="C11" s="16" t="s">
        <v>345</v>
      </c>
      <c r="D11" s="13">
        <f>IF('Indicator Data'!I13="No data","x",IF('Indicator Data'!I13&gt;D$150,0,IF('Indicator Data'!I13&lt;D$149,10,(D$150-'Indicator Data'!I13)/(D$150-D$149)*10)))</f>
        <v>8.6239462288070516</v>
      </c>
      <c r="E11" s="13">
        <f>IF('Indicator Data'!J13="No data","x",IF('Indicator Data'!J13&gt;E$150,10,IF('Indicator Data'!J13&lt;E$149,0,10-(E$150-'Indicator Data'!J13)/(E$150-E$149)*10)))</f>
        <v>8.3418133333333326</v>
      </c>
      <c r="F11" s="144">
        <f>IF(OR('Indicator Data'!AG13=0,'Indicator Data'!AG13="No data"),"x",IF('Indicator Data'!AG13&gt;F$150,0,IF('Indicator Data'!AG13&lt;F$149,10,(F$150-'Indicator Data'!AG13)/(F$150-F$149)*10)))</f>
        <v>5.08</v>
      </c>
      <c r="G11" s="144">
        <f>IF(OR('Indicator Data'!AE13=0,'Indicator Data'!AE13="No data"),"x",IF('Indicator Data'!AE13&gt;G$150,0,IF('Indicator Data'!AE13&lt;G$149,10,(G$150-'Indicator Data'!AE13)/(G$150-G$149)*10)))</f>
        <v>9.77</v>
      </c>
      <c r="H11" s="144">
        <f>IF(OR('Indicator Data'!AF13=0,'Indicator Data'!AF13="No data"),"x",IF('Indicator Data'!AF13&gt;H$150,0,IF('Indicator Data'!AF13&lt;H$149,10,(H$150-'Indicator Data'!AF13)/(H$150-H$149)*10)))</f>
        <v>8.3099999999999987</v>
      </c>
      <c r="I11" s="144">
        <f t="shared" si="0"/>
        <v>7.7199999999999989</v>
      </c>
      <c r="J11" s="49">
        <f t="shared" si="2"/>
        <v>8.4866682785213889</v>
      </c>
      <c r="K11" s="13">
        <f>IF('Indicator Data'!K13="No data","x",IF('Indicator Data'!K13&gt;K$150,10,IF('Indicator Data'!K13&lt;K$149,0,10-(K$150-'Indicator Data'!K13)/(K$150-K$149)*10)))</f>
        <v>6.6848861579211238</v>
      </c>
      <c r="L11" s="13">
        <f>IF('Indicator Data'!L13="No data","x",IF('Indicator Data'!L13&gt;L$150,10,IF('Indicator Data'!L13&lt;L$149,0,10-(L$150-'Indicator Data'!L13)/(L$150-L$149)*10)))</f>
        <v>2.0674999999999999</v>
      </c>
      <c r="M11" s="13">
        <f>IF('Indicator Data'!M13="No data","x",IF('Indicator Data'!M13&gt;M$150,10,IF('Indicator Data'!M13&lt;M$149,0,10-(M$150-'Indicator Data'!M13)/(M$150-M$149)*10)))</f>
        <v>3.1682746666666661</v>
      </c>
      <c r="N11" s="144"/>
      <c r="O11" s="49">
        <f t="shared" si="3"/>
        <v>3.9735536081959295</v>
      </c>
      <c r="P11" s="42">
        <f t="shared" si="4"/>
        <v>6.9822967217462351</v>
      </c>
      <c r="Q11" s="33">
        <f>'Indicator Data'!AA13</f>
        <v>0</v>
      </c>
      <c r="R11" s="13">
        <f t="shared" si="5"/>
        <v>0</v>
      </c>
      <c r="S11" s="38">
        <f>Q11/'Indicator Data'!AN13</f>
        <v>0</v>
      </c>
      <c r="T11" s="13">
        <f t="shared" si="6"/>
        <v>0</v>
      </c>
      <c r="U11" s="14">
        <f t="shared" si="7"/>
        <v>0</v>
      </c>
      <c r="V11" s="33">
        <f>IF('Indicator Data'!Z13="",VLOOKUP($B11,'Indicator Data (national)'!$B$5:$AA$14,26,FALSE),'Indicator Data'!Z13)</f>
        <v>78900</v>
      </c>
      <c r="W11" s="13">
        <f t="shared" si="8"/>
        <v>6.3235900106980685</v>
      </c>
      <c r="X11" s="38">
        <f>IF('Indicator Data'!Z13="",V11/VLOOKUP($B11,'Indicator Data (national)'!$B$5:$AM$14,38,FALSE),V11/'Indicator Data'!AN13)</f>
        <v>7.7638131914369371E-3</v>
      </c>
      <c r="Y11" s="13">
        <f t="shared" si="9"/>
        <v>5.2880881693640287</v>
      </c>
      <c r="Z11" s="14">
        <f t="shared" si="10"/>
        <v>5.8058390900310481</v>
      </c>
      <c r="AA11" s="149">
        <f t="shared" si="11"/>
        <v>2.9029195450155241</v>
      </c>
      <c r="AB11" s="33">
        <f>VLOOKUP($B11,'Indicator Data (national)'!$B$5:$Z$14,25,FALSE)+VLOOKUP($B11,'Indicator Data (national)'!$B$5:$Z$14,24,FALSE)*0.5+VLOOKUP($B11,'Indicator Data (national)'!$B$5:$Z$14,23,FALSE)*0.25</f>
        <v>12682</v>
      </c>
      <c r="AC11" s="39">
        <f>AB11/VLOOKUP($B11,'Indicator Data (national)'!$B$5:$AM$14,38,FALSE)</f>
        <v>1.2479173497313464E-3</v>
      </c>
      <c r="AD11" s="49">
        <f t="shared" si="12"/>
        <v>0.12479173497313489</v>
      </c>
      <c r="AE11" s="13">
        <f>IF('Indicator Data'!V13="No data","x",IF(('Indicator Data'!V13)&gt;AE$150,10,IF(('Indicator Data'!V13)&lt;AE$149,0,10-(AE$150-('Indicator Data'!V13))/(AE$150-AE$149)*10)))</f>
        <v>7.3684210526315788</v>
      </c>
      <c r="AF11" s="49">
        <f t="shared" si="13"/>
        <v>7.3684210526315788</v>
      </c>
      <c r="AG11" s="34">
        <f t="shared" si="14"/>
        <v>4.6987489637934257</v>
      </c>
      <c r="AH11" s="52">
        <f t="shared" si="1"/>
        <v>5.2785023046508837</v>
      </c>
    </row>
    <row r="12" spans="1:34" s="11" customFormat="1" x14ac:dyDescent="0.25">
      <c r="A12" s="16" t="s">
        <v>346</v>
      </c>
      <c r="B12" s="126" t="s">
        <v>572</v>
      </c>
      <c r="C12" s="16" t="s">
        <v>347</v>
      </c>
      <c r="D12" s="13">
        <f>IF('Indicator Data'!I14="No data","x",IF('Indicator Data'!I14&gt;D$150,0,IF('Indicator Data'!I14&lt;D$149,10,(D$150-'Indicator Data'!I14)/(D$150-D$149)*10)))</f>
        <v>8.6239462288070516</v>
      </c>
      <c r="E12" s="13">
        <f>IF('Indicator Data'!J14="No data","x",IF('Indicator Data'!J14&gt;E$150,10,IF('Indicator Data'!J14&lt;E$149,0,10-(E$150-'Indicator Data'!J14)/(E$150-E$149)*10)))</f>
        <v>8.3418133333333326</v>
      </c>
      <c r="F12" s="144">
        <f>IF(OR('Indicator Data'!AG14=0,'Indicator Data'!AG14="No data"),"x",IF('Indicator Data'!AG14&gt;F$150,0,IF('Indicator Data'!AG14&lt;F$149,10,(F$150-'Indicator Data'!AG14)/(F$150-F$149)*10)))</f>
        <v>5.08</v>
      </c>
      <c r="G12" s="144">
        <f>IF(OR('Indicator Data'!AE14=0,'Indicator Data'!AE14="No data"),"x",IF('Indicator Data'!AE14&gt;G$150,0,IF('Indicator Data'!AE14&lt;G$149,10,(G$150-'Indicator Data'!AE14)/(G$150-G$149)*10)))</f>
        <v>9.77</v>
      </c>
      <c r="H12" s="144">
        <f>IF(OR('Indicator Data'!AF14=0,'Indicator Data'!AF14="No data"),"x",IF('Indicator Data'!AF14&gt;H$150,0,IF('Indicator Data'!AF14&lt;H$149,10,(H$150-'Indicator Data'!AF14)/(H$150-H$149)*10)))</f>
        <v>8.3099999999999987</v>
      </c>
      <c r="I12" s="144">
        <f t="shared" si="0"/>
        <v>7.7199999999999989</v>
      </c>
      <c r="J12" s="49">
        <f t="shared" si="2"/>
        <v>8.4866682785213889</v>
      </c>
      <c r="K12" s="13">
        <f>IF('Indicator Data'!K14="No data","x",IF('Indicator Data'!K14&gt;K$150,10,IF('Indicator Data'!K14&lt;K$149,0,10-(K$150-'Indicator Data'!K14)/(K$150-K$149)*10)))</f>
        <v>6.6848861579211238</v>
      </c>
      <c r="L12" s="13">
        <f>IF('Indicator Data'!L14="No data","x",IF('Indicator Data'!L14&gt;L$150,10,IF('Indicator Data'!L14&lt;L$149,0,10-(L$150-'Indicator Data'!L14)/(L$150-L$149)*10)))</f>
        <v>2.0674999999999999</v>
      </c>
      <c r="M12" s="13">
        <f>IF('Indicator Data'!M14="No data","x",IF('Indicator Data'!M14&gt;M$150,10,IF('Indicator Data'!M14&lt;M$149,0,10-(M$150-'Indicator Data'!M14)/(M$150-M$149)*10)))</f>
        <v>3.1682746666666661</v>
      </c>
      <c r="N12" s="144"/>
      <c r="O12" s="49">
        <f t="shared" si="3"/>
        <v>3.9735536081959295</v>
      </c>
      <c r="P12" s="42">
        <f t="shared" si="4"/>
        <v>6.9822967217462351</v>
      </c>
      <c r="Q12" s="33">
        <f>'Indicator Data'!AA14</f>
        <v>0</v>
      </c>
      <c r="R12" s="13">
        <f t="shared" si="5"/>
        <v>0</v>
      </c>
      <c r="S12" s="38">
        <f>Q12/'Indicator Data'!AN14</f>
        <v>0</v>
      </c>
      <c r="T12" s="13">
        <f t="shared" si="6"/>
        <v>0</v>
      </c>
      <c r="U12" s="14">
        <f t="shared" si="7"/>
        <v>0</v>
      </c>
      <c r="V12" s="33">
        <f>IF('Indicator Data'!Z14="",VLOOKUP($B12,'Indicator Data (national)'!$B$5:$AA$14,26,FALSE),'Indicator Data'!Z14)</f>
        <v>78900</v>
      </c>
      <c r="W12" s="13">
        <f t="shared" si="8"/>
        <v>6.3235900106980685</v>
      </c>
      <c r="X12" s="38">
        <f>IF('Indicator Data'!Z14="",V12/VLOOKUP($B12,'Indicator Data (national)'!$B$5:$AM$14,38,FALSE),V12/'Indicator Data'!AN14)</f>
        <v>7.7638131914369371E-3</v>
      </c>
      <c r="Y12" s="13">
        <f t="shared" si="9"/>
        <v>5.2880881693640287</v>
      </c>
      <c r="Z12" s="14">
        <f t="shared" si="10"/>
        <v>5.8058390900310481</v>
      </c>
      <c r="AA12" s="149">
        <f t="shared" si="11"/>
        <v>2.9029195450155241</v>
      </c>
      <c r="AB12" s="33">
        <f>VLOOKUP($B12,'Indicator Data (national)'!$B$5:$Z$14,25,FALSE)+VLOOKUP($B12,'Indicator Data (national)'!$B$5:$Z$14,24,FALSE)*0.5+VLOOKUP($B12,'Indicator Data (national)'!$B$5:$Z$14,23,FALSE)*0.25</f>
        <v>12682</v>
      </c>
      <c r="AC12" s="39">
        <f>AB12/VLOOKUP($B12,'Indicator Data (national)'!$B$5:$AM$14,38,FALSE)</f>
        <v>1.2479173497313464E-3</v>
      </c>
      <c r="AD12" s="49">
        <f t="shared" si="12"/>
        <v>0.12479173497313489</v>
      </c>
      <c r="AE12" s="13">
        <f>IF('Indicator Data'!V14="No data","x",IF(('Indicator Data'!V14)&gt;AE$150,10,IF(('Indicator Data'!V14)&lt;AE$149,0,10-(AE$150-('Indicator Data'!V14))/(AE$150-AE$149)*10)))</f>
        <v>7.3684210526315788</v>
      </c>
      <c r="AF12" s="49">
        <f t="shared" si="13"/>
        <v>7.3684210526315788</v>
      </c>
      <c r="AG12" s="34">
        <f t="shared" si="14"/>
        <v>4.6987489637934257</v>
      </c>
      <c r="AH12" s="52">
        <f t="shared" si="1"/>
        <v>5.2785023046508837</v>
      </c>
    </row>
    <row r="13" spans="1:34" s="11" customFormat="1" x14ac:dyDescent="0.25">
      <c r="A13" s="16" t="s">
        <v>348</v>
      </c>
      <c r="B13" s="126" t="s">
        <v>572</v>
      </c>
      <c r="C13" s="16" t="s">
        <v>349</v>
      </c>
      <c r="D13" s="13">
        <f>IF('Indicator Data'!I15="No data","x",IF('Indicator Data'!I15&gt;D$150,0,IF('Indicator Data'!I15&lt;D$149,10,(D$150-'Indicator Data'!I15)/(D$150-D$149)*10)))</f>
        <v>8.6239462288070516</v>
      </c>
      <c r="E13" s="13">
        <f>IF('Indicator Data'!J15="No data","x",IF('Indicator Data'!J15&gt;E$150,10,IF('Indicator Data'!J15&lt;E$149,0,10-(E$150-'Indicator Data'!J15)/(E$150-E$149)*10)))</f>
        <v>7.0327849999999996</v>
      </c>
      <c r="F13" s="144">
        <f>IF(OR('Indicator Data'!AG15=0,'Indicator Data'!AG15="No data"),"x",IF('Indicator Data'!AG15&gt;F$150,0,IF('Indicator Data'!AG15&lt;F$149,10,(F$150-'Indicator Data'!AG15)/(F$150-F$149)*10)))</f>
        <v>4.8499999999999996</v>
      </c>
      <c r="G13" s="144">
        <f>IF(OR('Indicator Data'!AE15=0,'Indicator Data'!AE15="No data"),"x",IF('Indicator Data'!AE15&gt;G$150,0,IF('Indicator Data'!AE15&lt;G$149,10,(G$150-'Indicator Data'!AE15)/(G$150-G$149)*10)))</f>
        <v>9.629999999999999</v>
      </c>
      <c r="H13" s="144">
        <f>IF(OR('Indicator Data'!AF15=0,'Indicator Data'!AF15="No data"),"x",IF('Indicator Data'!AF15&gt;H$150,0,IF('Indicator Data'!AF15&lt;H$149,10,(H$150-'Indicator Data'!AF15)/(H$150-H$149)*10)))</f>
        <v>4.9000000000000004</v>
      </c>
      <c r="I13" s="144">
        <f t="shared" si="0"/>
        <v>6.46</v>
      </c>
      <c r="J13" s="49">
        <f t="shared" si="2"/>
        <v>7.9262297189491928</v>
      </c>
      <c r="K13" s="13">
        <f>IF('Indicator Data'!K15="No data","x",IF('Indicator Data'!K15&gt;K$150,10,IF('Indicator Data'!K15&lt;K$149,0,10-(K$150-'Indicator Data'!K15)/(K$150-K$149)*10)))</f>
        <v>6.6848861579211238</v>
      </c>
      <c r="L13" s="13">
        <f>IF('Indicator Data'!L15="No data","x",IF('Indicator Data'!L15&gt;L$150,10,IF('Indicator Data'!L15&lt;L$149,0,10-(L$150-'Indicator Data'!L15)/(L$150-L$149)*10)))</f>
        <v>2.0674999999999999</v>
      </c>
      <c r="M13" s="13">
        <f>IF('Indicator Data'!M15="No data","x",IF('Indicator Data'!M15&gt;M$150,10,IF('Indicator Data'!M15&lt;M$149,0,10-(M$150-'Indicator Data'!M15)/(M$150-M$149)*10)))</f>
        <v>2.9201160000000002</v>
      </c>
      <c r="N13" s="144"/>
      <c r="O13" s="49">
        <f t="shared" si="3"/>
        <v>3.8908340526403742</v>
      </c>
      <c r="P13" s="42">
        <f t="shared" si="4"/>
        <v>6.581097830179587</v>
      </c>
      <c r="Q13" s="33">
        <f>'Indicator Data'!AA15</f>
        <v>0</v>
      </c>
      <c r="R13" s="13">
        <f t="shared" si="5"/>
        <v>0</v>
      </c>
      <c r="S13" s="38">
        <f>Q13/'Indicator Data'!AN15</f>
        <v>0</v>
      </c>
      <c r="T13" s="13">
        <f t="shared" si="6"/>
        <v>0</v>
      </c>
      <c r="U13" s="14">
        <f t="shared" si="7"/>
        <v>0</v>
      </c>
      <c r="V13" s="33">
        <f>IF('Indicator Data'!Z15="",VLOOKUP($B13,'Indicator Data (national)'!$B$5:$AA$14,26,FALSE),'Indicator Data'!Z15)</f>
        <v>78900</v>
      </c>
      <c r="W13" s="13">
        <f t="shared" si="8"/>
        <v>6.3235900106980685</v>
      </c>
      <c r="X13" s="38">
        <f>IF('Indicator Data'!Z15="",V13/VLOOKUP($B13,'Indicator Data (national)'!$B$5:$AM$14,38,FALSE),V13/'Indicator Data'!AN15)</f>
        <v>7.7638131914369371E-3</v>
      </c>
      <c r="Y13" s="13">
        <f t="shared" si="9"/>
        <v>5.2880881693640287</v>
      </c>
      <c r="Z13" s="14">
        <f t="shared" si="10"/>
        <v>5.8058390900310481</v>
      </c>
      <c r="AA13" s="149">
        <f t="shared" si="11"/>
        <v>2.9029195450155241</v>
      </c>
      <c r="AB13" s="33">
        <f>VLOOKUP($B13,'Indicator Data (national)'!$B$5:$Z$14,25,FALSE)+VLOOKUP($B13,'Indicator Data (national)'!$B$5:$Z$14,24,FALSE)*0.5+VLOOKUP($B13,'Indicator Data (national)'!$B$5:$Z$14,23,FALSE)*0.25</f>
        <v>12682</v>
      </c>
      <c r="AC13" s="39">
        <f>AB13/VLOOKUP($B13,'Indicator Data (national)'!$B$5:$AM$14,38,FALSE)</f>
        <v>1.2479173497313464E-3</v>
      </c>
      <c r="AD13" s="49">
        <f t="shared" si="12"/>
        <v>0.12479173497313489</v>
      </c>
      <c r="AE13" s="13">
        <f>IF('Indicator Data'!V15="No data","x",IF(('Indicator Data'!V15)&gt;AE$150,10,IF(('Indicator Data'!V15)&lt;AE$149,0,10-(AE$150-('Indicator Data'!V15))/(AE$150-AE$149)*10)))</f>
        <v>7.3684210526315788</v>
      </c>
      <c r="AF13" s="49">
        <f t="shared" si="13"/>
        <v>7.3684210526315788</v>
      </c>
      <c r="AG13" s="34">
        <f t="shared" si="14"/>
        <v>4.6987489637934257</v>
      </c>
      <c r="AH13" s="52">
        <f t="shared" si="1"/>
        <v>5.2785023046508837</v>
      </c>
    </row>
    <row r="14" spans="1:34" s="11" customFormat="1" x14ac:dyDescent="0.25">
      <c r="A14" s="16" t="s">
        <v>350</v>
      </c>
      <c r="B14" s="126" t="s">
        <v>572</v>
      </c>
      <c r="C14" s="16" t="s">
        <v>351</v>
      </c>
      <c r="D14" s="13">
        <f>IF('Indicator Data'!I16="No data","x",IF('Indicator Data'!I16&gt;D$150,0,IF('Indicator Data'!I16&lt;D$149,10,(D$150-'Indicator Data'!I16)/(D$150-D$149)*10)))</f>
        <v>8.6239462288070516</v>
      </c>
      <c r="E14" s="13">
        <f>IF('Indicator Data'!J16="No data","x",IF('Indicator Data'!J16&gt;E$150,10,IF('Indicator Data'!J16&lt;E$149,0,10-(E$150-'Indicator Data'!J16)/(E$150-E$149)*10)))</f>
        <v>7.877298333333334</v>
      </c>
      <c r="F14" s="144">
        <f>IF(OR('Indicator Data'!AG16=0,'Indicator Data'!AG16="No data"),"x",IF('Indicator Data'!AG16&gt;F$150,0,IF('Indicator Data'!AG16&lt;F$149,10,(F$150-'Indicator Data'!AG16)/(F$150-F$149)*10)))</f>
        <v>4.4400000000000004</v>
      </c>
      <c r="G14" s="144">
        <f>IF(OR('Indicator Data'!AE16=0,'Indicator Data'!AE16="No data"),"x",IF('Indicator Data'!AE16&gt;G$150,0,IF('Indicator Data'!AE16&lt;G$149,10,(G$150-'Indicator Data'!AE16)/(G$150-G$149)*10)))</f>
        <v>9.75</v>
      </c>
      <c r="H14" s="144">
        <f>IF(OR('Indicator Data'!AF16=0,'Indicator Data'!AF16="No data"),"x",IF('Indicator Data'!AF16&gt;H$150,0,IF('Indicator Data'!AF16&lt;H$149,10,(H$150-'Indicator Data'!AF16)/(H$150-H$149)*10)))</f>
        <v>5.9499999999999993</v>
      </c>
      <c r="I14" s="144">
        <f t="shared" si="0"/>
        <v>6.7133333333333338</v>
      </c>
      <c r="J14" s="49">
        <f t="shared" si="2"/>
        <v>8.2750882662039995</v>
      </c>
      <c r="K14" s="13">
        <f>IF('Indicator Data'!K16="No data","x",IF('Indicator Data'!K16&gt;K$150,10,IF('Indicator Data'!K16&lt;K$149,0,10-(K$150-'Indicator Data'!K16)/(K$150-K$149)*10)))</f>
        <v>6.6848861579211238</v>
      </c>
      <c r="L14" s="13">
        <f>IF('Indicator Data'!L16="No data","x",IF('Indicator Data'!L16&gt;L$150,10,IF('Indicator Data'!L16&lt;L$149,0,10-(L$150-'Indicator Data'!L16)/(L$150-L$149)*10)))</f>
        <v>2.0674999999999999</v>
      </c>
      <c r="M14" s="13">
        <f>IF('Indicator Data'!M16="No data","x",IF('Indicator Data'!M16&gt;M$150,10,IF('Indicator Data'!M16&lt;M$149,0,10-(M$150-'Indicator Data'!M16)/(M$150-M$149)*10)))</f>
        <v>3.0110493333333332</v>
      </c>
      <c r="N14" s="144"/>
      <c r="O14" s="49">
        <f t="shared" si="3"/>
        <v>3.9211451637514849</v>
      </c>
      <c r="P14" s="42">
        <f t="shared" si="4"/>
        <v>6.8237738987198284</v>
      </c>
      <c r="Q14" s="33">
        <f>'Indicator Data'!AA16</f>
        <v>0</v>
      </c>
      <c r="R14" s="13">
        <f t="shared" si="5"/>
        <v>0</v>
      </c>
      <c r="S14" s="38">
        <f>Q14/'Indicator Data'!AN16</f>
        <v>0</v>
      </c>
      <c r="T14" s="13">
        <f t="shared" si="6"/>
        <v>0</v>
      </c>
      <c r="U14" s="14">
        <f t="shared" si="7"/>
        <v>0</v>
      </c>
      <c r="V14" s="33">
        <f>IF('Indicator Data'!Z16="",VLOOKUP($B14,'Indicator Data (national)'!$B$5:$AA$14,26,FALSE),'Indicator Data'!Z16)</f>
        <v>78900</v>
      </c>
      <c r="W14" s="13">
        <f t="shared" si="8"/>
        <v>6.3235900106980685</v>
      </c>
      <c r="X14" s="38">
        <f>IF('Indicator Data'!Z16="",V14/VLOOKUP($B14,'Indicator Data (national)'!$B$5:$AM$14,38,FALSE),V14/'Indicator Data'!AN16)</f>
        <v>7.7638131914369371E-3</v>
      </c>
      <c r="Y14" s="13">
        <f t="shared" si="9"/>
        <v>5.2880881693640287</v>
      </c>
      <c r="Z14" s="14">
        <f t="shared" si="10"/>
        <v>5.8058390900310481</v>
      </c>
      <c r="AA14" s="149">
        <f t="shared" si="11"/>
        <v>2.9029195450155241</v>
      </c>
      <c r="AB14" s="33">
        <f>VLOOKUP($B14,'Indicator Data (national)'!$B$5:$Z$14,25,FALSE)+VLOOKUP($B14,'Indicator Data (national)'!$B$5:$Z$14,24,FALSE)*0.5+VLOOKUP($B14,'Indicator Data (national)'!$B$5:$Z$14,23,FALSE)*0.25</f>
        <v>12682</v>
      </c>
      <c r="AC14" s="39">
        <f>AB14/VLOOKUP($B14,'Indicator Data (national)'!$B$5:$AM$14,38,FALSE)</f>
        <v>1.2479173497313464E-3</v>
      </c>
      <c r="AD14" s="49">
        <f t="shared" si="12"/>
        <v>0.12479173497313489</v>
      </c>
      <c r="AE14" s="13">
        <f>IF('Indicator Data'!V16="No data","x",IF(('Indicator Data'!V16)&gt;AE$150,10,IF(('Indicator Data'!V16)&lt;AE$149,0,10-(AE$150-('Indicator Data'!V16))/(AE$150-AE$149)*10)))</f>
        <v>7.3684210526315788</v>
      </c>
      <c r="AF14" s="49">
        <f t="shared" si="13"/>
        <v>7.3684210526315788</v>
      </c>
      <c r="AG14" s="34">
        <f t="shared" si="14"/>
        <v>4.6987489637934257</v>
      </c>
      <c r="AH14" s="52">
        <f t="shared" si="1"/>
        <v>5.2785023046508837</v>
      </c>
    </row>
    <row r="15" spans="1:34" s="11" customFormat="1" x14ac:dyDescent="0.25">
      <c r="A15" s="16" t="s">
        <v>352</v>
      </c>
      <c r="B15" s="126" t="s">
        <v>572</v>
      </c>
      <c r="C15" s="16" t="s">
        <v>353</v>
      </c>
      <c r="D15" s="13">
        <f>IF('Indicator Data'!I17="No data","x",IF('Indicator Data'!I17&gt;D$150,0,IF('Indicator Data'!I17&lt;D$149,10,(D$150-'Indicator Data'!I17)/(D$150-D$149)*10)))</f>
        <v>8.6239462288070516</v>
      </c>
      <c r="E15" s="13">
        <f>IF('Indicator Data'!J17="No data","x",IF('Indicator Data'!J17&gt;E$150,10,IF('Indicator Data'!J17&lt;E$149,0,10-(E$150-'Indicator Data'!J17)/(E$150-E$149)*10)))</f>
        <v>8.3418133333333326</v>
      </c>
      <c r="F15" s="144">
        <f>IF(OR('Indicator Data'!AG17=0,'Indicator Data'!AG17="No data"),"x",IF('Indicator Data'!AG17&gt;F$150,0,IF('Indicator Data'!AG17&lt;F$149,10,(F$150-'Indicator Data'!AG17)/(F$150-F$149)*10)))</f>
        <v>5.08</v>
      </c>
      <c r="G15" s="144">
        <f>IF(OR('Indicator Data'!AE17=0,'Indicator Data'!AE17="No data"),"x",IF('Indicator Data'!AE17&gt;G$150,0,IF('Indicator Data'!AE17&lt;G$149,10,(G$150-'Indicator Data'!AE17)/(G$150-G$149)*10)))</f>
        <v>9.77</v>
      </c>
      <c r="H15" s="144">
        <f>IF(OR('Indicator Data'!AF17=0,'Indicator Data'!AF17="No data"),"x",IF('Indicator Data'!AF17&gt;H$150,0,IF('Indicator Data'!AF17&lt;H$149,10,(H$150-'Indicator Data'!AF17)/(H$150-H$149)*10)))</f>
        <v>8.3099999999999987</v>
      </c>
      <c r="I15" s="144">
        <f t="shared" si="0"/>
        <v>7.7199999999999989</v>
      </c>
      <c r="J15" s="49">
        <f t="shared" si="2"/>
        <v>8.4866682785213889</v>
      </c>
      <c r="K15" s="13">
        <f>IF('Indicator Data'!K17="No data","x",IF('Indicator Data'!K17&gt;K$150,10,IF('Indicator Data'!K17&lt;K$149,0,10-(K$150-'Indicator Data'!K17)/(K$150-K$149)*10)))</f>
        <v>6.6848861579211238</v>
      </c>
      <c r="L15" s="13">
        <f>IF('Indicator Data'!L17="No data","x",IF('Indicator Data'!L17&gt;L$150,10,IF('Indicator Data'!L17&lt;L$149,0,10-(L$150-'Indicator Data'!L17)/(L$150-L$149)*10)))</f>
        <v>2.0674999999999999</v>
      </c>
      <c r="M15" s="13">
        <f>IF('Indicator Data'!M17="No data","x",IF('Indicator Data'!M17&gt;M$150,10,IF('Indicator Data'!M17&lt;M$149,0,10-(M$150-'Indicator Data'!M17)/(M$150-M$149)*10)))</f>
        <v>3.1682746666666661</v>
      </c>
      <c r="N15" s="144"/>
      <c r="O15" s="49">
        <f t="shared" si="3"/>
        <v>3.9735536081959295</v>
      </c>
      <c r="P15" s="42">
        <f t="shared" si="4"/>
        <v>6.9822967217462351</v>
      </c>
      <c r="Q15" s="33">
        <f>'Indicator Data'!AA17</f>
        <v>0</v>
      </c>
      <c r="R15" s="13">
        <f t="shared" si="5"/>
        <v>0</v>
      </c>
      <c r="S15" s="38">
        <f>Q15/'Indicator Data'!AN17</f>
        <v>0</v>
      </c>
      <c r="T15" s="13">
        <f t="shared" si="6"/>
        <v>0</v>
      </c>
      <c r="U15" s="14">
        <f t="shared" si="7"/>
        <v>0</v>
      </c>
      <c r="V15" s="33">
        <f>IF('Indicator Data'!Z17="",VLOOKUP($B15,'Indicator Data (national)'!$B$5:$AA$14,26,FALSE),'Indicator Data'!Z17)</f>
        <v>78900</v>
      </c>
      <c r="W15" s="13">
        <f t="shared" si="8"/>
        <v>6.3235900106980685</v>
      </c>
      <c r="X15" s="38">
        <f>IF('Indicator Data'!Z17="",V15/VLOOKUP($B15,'Indicator Data (national)'!$B$5:$AM$14,38,FALSE),V15/'Indicator Data'!AN17)</f>
        <v>7.7638131914369371E-3</v>
      </c>
      <c r="Y15" s="13">
        <f t="shared" si="9"/>
        <v>5.2880881693640287</v>
      </c>
      <c r="Z15" s="14">
        <f t="shared" si="10"/>
        <v>5.8058390900310481</v>
      </c>
      <c r="AA15" s="149">
        <f t="shared" si="11"/>
        <v>2.9029195450155241</v>
      </c>
      <c r="AB15" s="33">
        <f>VLOOKUP($B15,'Indicator Data (national)'!$B$5:$Z$14,25,FALSE)+VLOOKUP($B15,'Indicator Data (national)'!$B$5:$Z$14,24,FALSE)*0.5+VLOOKUP($B15,'Indicator Data (national)'!$B$5:$Z$14,23,FALSE)*0.25</f>
        <v>12682</v>
      </c>
      <c r="AC15" s="39">
        <f>AB15/VLOOKUP($B15,'Indicator Data (national)'!$B$5:$AM$14,38,FALSE)</f>
        <v>1.2479173497313464E-3</v>
      </c>
      <c r="AD15" s="49">
        <f t="shared" si="12"/>
        <v>0.12479173497313489</v>
      </c>
      <c r="AE15" s="13">
        <f>IF('Indicator Data'!V17="No data","x",IF(('Indicator Data'!V17)&gt;AE$150,10,IF(('Indicator Data'!V17)&lt;AE$149,0,10-(AE$150-('Indicator Data'!V17))/(AE$150-AE$149)*10)))</f>
        <v>7.3684210526315788</v>
      </c>
      <c r="AF15" s="49">
        <f t="shared" si="13"/>
        <v>7.3684210526315788</v>
      </c>
      <c r="AG15" s="34">
        <f t="shared" si="14"/>
        <v>4.6987489637934257</v>
      </c>
      <c r="AH15" s="52">
        <f t="shared" si="1"/>
        <v>5.2785023046508837</v>
      </c>
    </row>
    <row r="16" spans="1:34" s="11" customFormat="1" x14ac:dyDescent="0.25">
      <c r="A16" s="16" t="s">
        <v>354</v>
      </c>
      <c r="B16" s="126" t="s">
        <v>572</v>
      </c>
      <c r="C16" s="16" t="s">
        <v>355</v>
      </c>
      <c r="D16" s="13">
        <f>IF('Indicator Data'!I18="No data","x",IF('Indicator Data'!I18&gt;D$150,0,IF('Indicator Data'!I18&lt;D$149,10,(D$150-'Indicator Data'!I18)/(D$150-D$149)*10)))</f>
        <v>8.6239462288070516</v>
      </c>
      <c r="E16" s="13">
        <f>IF('Indicator Data'!J18="No data","x",IF('Indicator Data'!J18&gt;E$150,10,IF('Indicator Data'!J18&lt;E$149,0,10-(E$150-'Indicator Data'!J18)/(E$150-E$149)*10)))</f>
        <v>7.0327849999999996</v>
      </c>
      <c r="F16" s="144">
        <f>IF(OR('Indicator Data'!AG18=0,'Indicator Data'!AG18="No data"),"x",IF('Indicator Data'!AG18&gt;F$150,0,IF('Indicator Data'!AG18&lt;F$149,10,(F$150-'Indicator Data'!AG18)/(F$150-F$149)*10)))</f>
        <v>4.8499999999999996</v>
      </c>
      <c r="G16" s="144">
        <f>IF(OR('Indicator Data'!AE18=0,'Indicator Data'!AE18="No data"),"x",IF('Indicator Data'!AE18&gt;G$150,0,IF('Indicator Data'!AE18&lt;G$149,10,(G$150-'Indicator Data'!AE18)/(G$150-G$149)*10)))</f>
        <v>9.629999999999999</v>
      </c>
      <c r="H16" s="144">
        <f>IF(OR('Indicator Data'!AF18=0,'Indicator Data'!AF18="No data"),"x",IF('Indicator Data'!AF18&gt;H$150,0,IF('Indicator Data'!AF18&lt;H$149,10,(H$150-'Indicator Data'!AF18)/(H$150-H$149)*10)))</f>
        <v>4.9000000000000004</v>
      </c>
      <c r="I16" s="144">
        <f t="shared" si="0"/>
        <v>6.46</v>
      </c>
      <c r="J16" s="49">
        <f t="shared" si="2"/>
        <v>7.9262297189491928</v>
      </c>
      <c r="K16" s="13">
        <f>IF('Indicator Data'!K18="No data","x",IF('Indicator Data'!K18&gt;K$150,10,IF('Indicator Data'!K18&lt;K$149,0,10-(K$150-'Indicator Data'!K18)/(K$150-K$149)*10)))</f>
        <v>6.6848861579211238</v>
      </c>
      <c r="L16" s="13">
        <f>IF('Indicator Data'!L18="No data","x",IF('Indicator Data'!L18&gt;L$150,10,IF('Indicator Data'!L18&lt;L$149,0,10-(L$150-'Indicator Data'!L18)/(L$150-L$149)*10)))</f>
        <v>2.0674999999999999</v>
      </c>
      <c r="M16" s="13">
        <f>IF('Indicator Data'!M18="No data","x",IF('Indicator Data'!M18&gt;M$150,10,IF('Indicator Data'!M18&lt;M$149,0,10-(M$150-'Indicator Data'!M18)/(M$150-M$149)*10)))</f>
        <v>2.9201160000000002</v>
      </c>
      <c r="N16" s="144"/>
      <c r="O16" s="49">
        <f t="shared" si="3"/>
        <v>3.8908340526403742</v>
      </c>
      <c r="P16" s="42">
        <f t="shared" si="4"/>
        <v>6.581097830179587</v>
      </c>
      <c r="Q16" s="33">
        <f>'Indicator Data'!AA18</f>
        <v>0</v>
      </c>
      <c r="R16" s="13">
        <f t="shared" si="5"/>
        <v>0</v>
      </c>
      <c r="S16" s="38">
        <f>Q16/'Indicator Data'!AN18</f>
        <v>0</v>
      </c>
      <c r="T16" s="13">
        <f t="shared" si="6"/>
        <v>0</v>
      </c>
      <c r="U16" s="14">
        <f t="shared" si="7"/>
        <v>0</v>
      </c>
      <c r="V16" s="33">
        <f>IF('Indicator Data'!Z18="",VLOOKUP($B16,'Indicator Data (national)'!$B$5:$AA$14,26,FALSE),'Indicator Data'!Z18)</f>
        <v>78900</v>
      </c>
      <c r="W16" s="13">
        <f t="shared" si="8"/>
        <v>6.3235900106980685</v>
      </c>
      <c r="X16" s="38">
        <f>IF('Indicator Data'!Z18="",V16/VLOOKUP($B16,'Indicator Data (national)'!$B$5:$AM$14,38,FALSE),V16/'Indicator Data'!AN18)</f>
        <v>7.7638131914369371E-3</v>
      </c>
      <c r="Y16" s="13">
        <f t="shared" si="9"/>
        <v>5.2880881693640287</v>
      </c>
      <c r="Z16" s="14">
        <f t="shared" si="10"/>
        <v>5.8058390900310481</v>
      </c>
      <c r="AA16" s="149">
        <f t="shared" si="11"/>
        <v>2.9029195450155241</v>
      </c>
      <c r="AB16" s="33">
        <f>VLOOKUP($B16,'Indicator Data (national)'!$B$5:$Z$14,25,FALSE)+VLOOKUP($B16,'Indicator Data (national)'!$B$5:$Z$14,24,FALSE)*0.5+VLOOKUP($B16,'Indicator Data (national)'!$B$5:$Z$14,23,FALSE)*0.25</f>
        <v>12682</v>
      </c>
      <c r="AC16" s="39">
        <f>AB16/VLOOKUP($B16,'Indicator Data (national)'!$B$5:$AM$14,38,FALSE)</f>
        <v>1.2479173497313464E-3</v>
      </c>
      <c r="AD16" s="49">
        <f t="shared" si="12"/>
        <v>0.12479173497313489</v>
      </c>
      <c r="AE16" s="13">
        <f>IF('Indicator Data'!V18="No data","x",IF(('Indicator Data'!V18)&gt;AE$150,10,IF(('Indicator Data'!V18)&lt;AE$149,0,10-(AE$150-('Indicator Data'!V18))/(AE$150-AE$149)*10)))</f>
        <v>7.3684210526315788</v>
      </c>
      <c r="AF16" s="49">
        <f t="shared" si="13"/>
        <v>7.3684210526315788</v>
      </c>
      <c r="AG16" s="34">
        <f t="shared" si="14"/>
        <v>4.6987489637934257</v>
      </c>
      <c r="AH16" s="52">
        <f t="shared" si="1"/>
        <v>5.2785023046508837</v>
      </c>
    </row>
    <row r="17" spans="1:34" s="11" customFormat="1" x14ac:dyDescent="0.25">
      <c r="A17" s="16" t="s">
        <v>356</v>
      </c>
      <c r="B17" s="126" t="s">
        <v>572</v>
      </c>
      <c r="C17" s="16" t="s">
        <v>357</v>
      </c>
      <c r="D17" s="13">
        <f>IF('Indicator Data'!I19="No data","x",IF('Indicator Data'!I19&gt;D$150,0,IF('Indicator Data'!I19&lt;D$149,10,(D$150-'Indicator Data'!I19)/(D$150-D$149)*10)))</f>
        <v>8.6239462288070516</v>
      </c>
      <c r="E17" s="13">
        <f>IF('Indicator Data'!J19="No data","x",IF('Indicator Data'!J19&gt;E$150,10,IF('Indicator Data'!J19&lt;E$149,0,10-(E$150-'Indicator Data'!J19)/(E$150-E$149)*10)))</f>
        <v>8.3418133333333326</v>
      </c>
      <c r="F17" s="144">
        <f>IF(OR('Indicator Data'!AG19=0,'Indicator Data'!AG19="No data"),"x",IF('Indicator Data'!AG19&gt;F$150,0,IF('Indicator Data'!AG19&lt;F$149,10,(F$150-'Indicator Data'!AG19)/(F$150-F$149)*10)))</f>
        <v>5.08</v>
      </c>
      <c r="G17" s="144">
        <f>IF(OR('Indicator Data'!AE19=0,'Indicator Data'!AE19="No data"),"x",IF('Indicator Data'!AE19&gt;G$150,0,IF('Indicator Data'!AE19&lt;G$149,10,(G$150-'Indicator Data'!AE19)/(G$150-G$149)*10)))</f>
        <v>9.77</v>
      </c>
      <c r="H17" s="144">
        <f>IF(OR('Indicator Data'!AF19=0,'Indicator Data'!AF19="No data"),"x",IF('Indicator Data'!AF19&gt;H$150,0,IF('Indicator Data'!AF19&lt;H$149,10,(H$150-'Indicator Data'!AF19)/(H$150-H$149)*10)))</f>
        <v>8.3099999999999987</v>
      </c>
      <c r="I17" s="144">
        <f t="shared" si="0"/>
        <v>7.7199999999999989</v>
      </c>
      <c r="J17" s="49">
        <f t="shared" si="2"/>
        <v>8.4866682785213889</v>
      </c>
      <c r="K17" s="13">
        <f>IF('Indicator Data'!K19="No data","x",IF('Indicator Data'!K19&gt;K$150,10,IF('Indicator Data'!K19&lt;K$149,0,10-(K$150-'Indicator Data'!K19)/(K$150-K$149)*10)))</f>
        <v>6.6848861579211238</v>
      </c>
      <c r="L17" s="13">
        <f>IF('Indicator Data'!L19="No data","x",IF('Indicator Data'!L19&gt;L$150,10,IF('Indicator Data'!L19&lt;L$149,0,10-(L$150-'Indicator Data'!L19)/(L$150-L$149)*10)))</f>
        <v>2.0674999999999999</v>
      </c>
      <c r="M17" s="13">
        <f>IF('Indicator Data'!M19="No data","x",IF('Indicator Data'!M19&gt;M$150,10,IF('Indicator Data'!M19&lt;M$149,0,10-(M$150-'Indicator Data'!M19)/(M$150-M$149)*10)))</f>
        <v>3.1682746666666661</v>
      </c>
      <c r="N17" s="144"/>
      <c r="O17" s="49">
        <f t="shared" si="3"/>
        <v>3.9735536081959295</v>
      </c>
      <c r="P17" s="42">
        <f t="shared" si="4"/>
        <v>6.9822967217462351</v>
      </c>
      <c r="Q17" s="33">
        <f>'Indicator Data'!AA19</f>
        <v>0</v>
      </c>
      <c r="R17" s="13">
        <f t="shared" si="5"/>
        <v>0</v>
      </c>
      <c r="S17" s="38">
        <f>Q17/'Indicator Data'!AN19</f>
        <v>0</v>
      </c>
      <c r="T17" s="13">
        <f t="shared" si="6"/>
        <v>0</v>
      </c>
      <c r="U17" s="14">
        <f t="shared" si="7"/>
        <v>0</v>
      </c>
      <c r="V17" s="33">
        <f>IF('Indicator Data'!Z19="",VLOOKUP($B17,'Indicator Data (national)'!$B$5:$AA$14,26,FALSE),'Indicator Data'!Z19)</f>
        <v>78900</v>
      </c>
      <c r="W17" s="13">
        <f t="shared" si="8"/>
        <v>6.3235900106980685</v>
      </c>
      <c r="X17" s="38">
        <f>IF('Indicator Data'!Z19="",V17/VLOOKUP($B17,'Indicator Data (national)'!$B$5:$AM$14,38,FALSE),V17/'Indicator Data'!AN19)</f>
        <v>7.7638131914369371E-3</v>
      </c>
      <c r="Y17" s="13">
        <f t="shared" si="9"/>
        <v>5.2880881693640287</v>
      </c>
      <c r="Z17" s="14">
        <f t="shared" si="10"/>
        <v>5.8058390900310481</v>
      </c>
      <c r="AA17" s="149">
        <f t="shared" si="11"/>
        <v>2.9029195450155241</v>
      </c>
      <c r="AB17" s="33">
        <f>VLOOKUP($B17,'Indicator Data (national)'!$B$5:$Z$14,25,FALSE)+VLOOKUP($B17,'Indicator Data (national)'!$B$5:$Z$14,24,FALSE)*0.5+VLOOKUP($B17,'Indicator Data (national)'!$B$5:$Z$14,23,FALSE)*0.25</f>
        <v>12682</v>
      </c>
      <c r="AC17" s="39">
        <f>AB17/VLOOKUP($B17,'Indicator Data (national)'!$B$5:$AM$14,38,FALSE)</f>
        <v>1.2479173497313464E-3</v>
      </c>
      <c r="AD17" s="49">
        <f t="shared" si="12"/>
        <v>0.12479173497313489</v>
      </c>
      <c r="AE17" s="13">
        <f>IF('Indicator Data'!V19="No data","x",IF(('Indicator Data'!V19)&gt;AE$150,10,IF(('Indicator Data'!V19)&lt;AE$149,0,10-(AE$150-('Indicator Data'!V19))/(AE$150-AE$149)*10)))</f>
        <v>7.3684210526315788</v>
      </c>
      <c r="AF17" s="49">
        <f t="shared" si="13"/>
        <v>7.3684210526315788</v>
      </c>
      <c r="AG17" s="34">
        <f t="shared" si="14"/>
        <v>4.6987489637934257</v>
      </c>
      <c r="AH17" s="52">
        <f t="shared" si="1"/>
        <v>5.2785023046508837</v>
      </c>
    </row>
    <row r="18" spans="1:34" s="11" customFormat="1" x14ac:dyDescent="0.25">
      <c r="A18" s="16" t="s">
        <v>358</v>
      </c>
      <c r="B18" s="126" t="s">
        <v>572</v>
      </c>
      <c r="C18" s="16" t="s">
        <v>359</v>
      </c>
      <c r="D18" s="13">
        <f>IF('Indicator Data'!I20="No data","x",IF('Indicator Data'!I20&gt;D$150,0,IF('Indicator Data'!I20&lt;D$149,10,(D$150-'Indicator Data'!I20)/(D$150-D$149)*10)))</f>
        <v>8.6239462288070516</v>
      </c>
      <c r="E18" s="13">
        <f>IF('Indicator Data'!J20="No data","x",IF('Indicator Data'!J20&gt;E$150,10,IF('Indicator Data'!J20&lt;E$149,0,10-(E$150-'Indicator Data'!J20)/(E$150-E$149)*10)))</f>
        <v>7.0327849999999996</v>
      </c>
      <c r="F18" s="144">
        <f>IF(OR('Indicator Data'!AG20=0,'Indicator Data'!AG20="No data"),"x",IF('Indicator Data'!AG20&gt;F$150,0,IF('Indicator Data'!AG20&lt;F$149,10,(F$150-'Indicator Data'!AG20)/(F$150-F$149)*10)))</f>
        <v>4.8499999999999996</v>
      </c>
      <c r="G18" s="144">
        <f>IF(OR('Indicator Data'!AE20=0,'Indicator Data'!AE20="No data"),"x",IF('Indicator Data'!AE20&gt;G$150,0,IF('Indicator Data'!AE20&lt;G$149,10,(G$150-'Indicator Data'!AE20)/(G$150-G$149)*10)))</f>
        <v>9.629999999999999</v>
      </c>
      <c r="H18" s="144">
        <f>IF(OR('Indicator Data'!AF20=0,'Indicator Data'!AF20="No data"),"x",IF('Indicator Data'!AF20&gt;H$150,0,IF('Indicator Data'!AF20&lt;H$149,10,(H$150-'Indicator Data'!AF20)/(H$150-H$149)*10)))</f>
        <v>4.9000000000000004</v>
      </c>
      <c r="I18" s="144">
        <f t="shared" si="0"/>
        <v>6.46</v>
      </c>
      <c r="J18" s="49">
        <f t="shared" si="2"/>
        <v>7.9262297189491928</v>
      </c>
      <c r="K18" s="13">
        <f>IF('Indicator Data'!K20="No data","x",IF('Indicator Data'!K20&gt;K$150,10,IF('Indicator Data'!K20&lt;K$149,0,10-(K$150-'Indicator Data'!K20)/(K$150-K$149)*10)))</f>
        <v>6.6848861579211238</v>
      </c>
      <c r="L18" s="13">
        <f>IF('Indicator Data'!L20="No data","x",IF('Indicator Data'!L20&gt;L$150,10,IF('Indicator Data'!L20&lt;L$149,0,10-(L$150-'Indicator Data'!L20)/(L$150-L$149)*10)))</f>
        <v>2.0674999999999999</v>
      </c>
      <c r="M18" s="13">
        <f>IF('Indicator Data'!M20="No data","x",IF('Indicator Data'!M20&gt;M$150,10,IF('Indicator Data'!M20&lt;M$149,0,10-(M$150-'Indicator Data'!M20)/(M$150-M$149)*10)))</f>
        <v>2.9201160000000002</v>
      </c>
      <c r="N18" s="144"/>
      <c r="O18" s="49">
        <f t="shared" si="3"/>
        <v>3.8908340526403742</v>
      </c>
      <c r="P18" s="42">
        <f t="shared" si="4"/>
        <v>6.581097830179587</v>
      </c>
      <c r="Q18" s="33">
        <f>'Indicator Data'!AA20</f>
        <v>0</v>
      </c>
      <c r="R18" s="13">
        <f t="shared" si="5"/>
        <v>0</v>
      </c>
      <c r="S18" s="38">
        <f>Q18/'Indicator Data'!AN20</f>
        <v>0</v>
      </c>
      <c r="T18" s="13">
        <f t="shared" si="6"/>
        <v>0</v>
      </c>
      <c r="U18" s="14">
        <f t="shared" si="7"/>
        <v>0</v>
      </c>
      <c r="V18" s="33">
        <f>IF('Indicator Data'!Z20="",VLOOKUP($B18,'Indicator Data (national)'!$B$5:$AA$14,26,FALSE),'Indicator Data'!Z20)</f>
        <v>78900</v>
      </c>
      <c r="W18" s="13">
        <f t="shared" si="8"/>
        <v>6.3235900106980685</v>
      </c>
      <c r="X18" s="38">
        <f>IF('Indicator Data'!Z20="",V18/VLOOKUP($B18,'Indicator Data (national)'!$B$5:$AM$14,38,FALSE),V18/'Indicator Data'!AN20)</f>
        <v>7.7638131914369371E-3</v>
      </c>
      <c r="Y18" s="13">
        <f t="shared" si="9"/>
        <v>5.2880881693640287</v>
      </c>
      <c r="Z18" s="14">
        <f t="shared" si="10"/>
        <v>5.8058390900310481</v>
      </c>
      <c r="AA18" s="149">
        <f t="shared" si="11"/>
        <v>2.9029195450155241</v>
      </c>
      <c r="AB18" s="33">
        <f>VLOOKUP($B18,'Indicator Data (national)'!$B$5:$Z$14,25,FALSE)+VLOOKUP($B18,'Indicator Data (national)'!$B$5:$Z$14,24,FALSE)*0.5+VLOOKUP($B18,'Indicator Data (national)'!$B$5:$Z$14,23,FALSE)*0.25</f>
        <v>12682</v>
      </c>
      <c r="AC18" s="39">
        <f>AB18/VLOOKUP($B18,'Indicator Data (national)'!$B$5:$AM$14,38,FALSE)</f>
        <v>1.2479173497313464E-3</v>
      </c>
      <c r="AD18" s="49">
        <f t="shared" si="12"/>
        <v>0.12479173497313489</v>
      </c>
      <c r="AE18" s="13">
        <f>IF('Indicator Data'!V20="No data","x",IF(('Indicator Data'!V20)&gt;AE$150,10,IF(('Indicator Data'!V20)&lt;AE$149,0,10-(AE$150-('Indicator Data'!V20))/(AE$150-AE$149)*10)))</f>
        <v>7.3684210526315788</v>
      </c>
      <c r="AF18" s="49">
        <f t="shared" si="13"/>
        <v>7.3684210526315788</v>
      </c>
      <c r="AG18" s="34">
        <f t="shared" si="14"/>
        <v>4.6987489637934257</v>
      </c>
      <c r="AH18" s="52">
        <f t="shared" si="1"/>
        <v>5.2785023046508837</v>
      </c>
    </row>
    <row r="19" spans="1:34" s="11" customFormat="1" x14ac:dyDescent="0.25">
      <c r="A19" s="16" t="s">
        <v>360</v>
      </c>
      <c r="B19" s="126" t="s">
        <v>572</v>
      </c>
      <c r="C19" s="16" t="s">
        <v>361</v>
      </c>
      <c r="D19" s="13">
        <f>IF('Indicator Data'!I21="No data","x",IF('Indicator Data'!I21&gt;D$150,0,IF('Indicator Data'!I21&lt;D$149,10,(D$150-'Indicator Data'!I21)/(D$150-D$149)*10)))</f>
        <v>8.6239462288070516</v>
      </c>
      <c r="E19" s="13">
        <f>IF('Indicator Data'!J21="No data","x",IF('Indicator Data'!J21&gt;E$150,10,IF('Indicator Data'!J21&lt;E$149,0,10-(E$150-'Indicator Data'!J21)/(E$150-E$149)*10)))</f>
        <v>7.877298333333334</v>
      </c>
      <c r="F19" s="144">
        <f>IF(OR('Indicator Data'!AG21=0,'Indicator Data'!AG21="No data"),"x",IF('Indicator Data'!AG21&gt;F$150,0,IF('Indicator Data'!AG21&lt;F$149,10,(F$150-'Indicator Data'!AG21)/(F$150-F$149)*10)))</f>
        <v>4.4400000000000004</v>
      </c>
      <c r="G19" s="144">
        <f>IF(OR('Indicator Data'!AE21=0,'Indicator Data'!AE21="No data"),"x",IF('Indicator Data'!AE21&gt;G$150,0,IF('Indicator Data'!AE21&lt;G$149,10,(G$150-'Indicator Data'!AE21)/(G$150-G$149)*10)))</f>
        <v>9.75</v>
      </c>
      <c r="H19" s="144">
        <f>IF(OR('Indicator Data'!AF21=0,'Indicator Data'!AF21="No data"),"x",IF('Indicator Data'!AF21&gt;H$150,0,IF('Indicator Data'!AF21&lt;H$149,10,(H$150-'Indicator Data'!AF21)/(H$150-H$149)*10)))</f>
        <v>5.9499999999999993</v>
      </c>
      <c r="I19" s="144">
        <f t="shared" si="0"/>
        <v>6.7133333333333338</v>
      </c>
      <c r="J19" s="49">
        <f t="shared" si="2"/>
        <v>8.2750882662039995</v>
      </c>
      <c r="K19" s="13">
        <f>IF('Indicator Data'!K21="No data","x",IF('Indicator Data'!K21&gt;K$150,10,IF('Indicator Data'!K21&lt;K$149,0,10-(K$150-'Indicator Data'!K21)/(K$150-K$149)*10)))</f>
        <v>6.6848861579211238</v>
      </c>
      <c r="L19" s="13">
        <f>IF('Indicator Data'!L21="No data","x",IF('Indicator Data'!L21&gt;L$150,10,IF('Indicator Data'!L21&lt;L$149,0,10-(L$150-'Indicator Data'!L21)/(L$150-L$149)*10)))</f>
        <v>2.0674999999999999</v>
      </c>
      <c r="M19" s="13">
        <f>IF('Indicator Data'!M21="No data","x",IF('Indicator Data'!M21&gt;M$150,10,IF('Indicator Data'!M21&lt;M$149,0,10-(M$150-'Indicator Data'!M21)/(M$150-M$149)*10)))</f>
        <v>3.0110493333333332</v>
      </c>
      <c r="N19" s="144"/>
      <c r="O19" s="49">
        <f t="shared" si="3"/>
        <v>3.9211451637514849</v>
      </c>
      <c r="P19" s="42">
        <f t="shared" si="4"/>
        <v>6.8237738987198284</v>
      </c>
      <c r="Q19" s="33">
        <f>'Indicator Data'!AA21</f>
        <v>0</v>
      </c>
      <c r="R19" s="13">
        <f t="shared" si="5"/>
        <v>0</v>
      </c>
      <c r="S19" s="38">
        <f>Q19/'Indicator Data'!AN21</f>
        <v>0</v>
      </c>
      <c r="T19" s="13">
        <f t="shared" si="6"/>
        <v>0</v>
      </c>
      <c r="U19" s="14">
        <f t="shared" si="7"/>
        <v>0</v>
      </c>
      <c r="V19" s="33">
        <f>IF('Indicator Data'!Z21="",VLOOKUP($B19,'Indicator Data (national)'!$B$5:$AA$14,26,FALSE),'Indicator Data'!Z21)</f>
        <v>78900</v>
      </c>
      <c r="W19" s="13">
        <f t="shared" si="8"/>
        <v>6.3235900106980685</v>
      </c>
      <c r="X19" s="38">
        <f>IF('Indicator Data'!Z21="",V19/VLOOKUP($B19,'Indicator Data (national)'!$B$5:$AM$14,38,FALSE),V19/'Indicator Data'!AN21)</f>
        <v>7.7638131914369371E-3</v>
      </c>
      <c r="Y19" s="13">
        <f t="shared" si="9"/>
        <v>5.2880881693640287</v>
      </c>
      <c r="Z19" s="14">
        <f t="shared" si="10"/>
        <v>5.8058390900310481</v>
      </c>
      <c r="AA19" s="149">
        <f t="shared" si="11"/>
        <v>2.9029195450155241</v>
      </c>
      <c r="AB19" s="33">
        <f>VLOOKUP($B19,'Indicator Data (national)'!$B$5:$Z$14,25,FALSE)+VLOOKUP($B19,'Indicator Data (national)'!$B$5:$Z$14,24,FALSE)*0.5+VLOOKUP($B19,'Indicator Data (national)'!$B$5:$Z$14,23,FALSE)*0.25</f>
        <v>12682</v>
      </c>
      <c r="AC19" s="39">
        <f>AB19/VLOOKUP($B19,'Indicator Data (national)'!$B$5:$AM$14,38,FALSE)</f>
        <v>1.2479173497313464E-3</v>
      </c>
      <c r="AD19" s="49">
        <f t="shared" si="12"/>
        <v>0.12479173497313489</v>
      </c>
      <c r="AE19" s="13">
        <f>IF('Indicator Data'!V21="No data","x",IF(('Indicator Data'!V21)&gt;AE$150,10,IF(('Indicator Data'!V21)&lt;AE$149,0,10-(AE$150-('Indicator Data'!V21))/(AE$150-AE$149)*10)))</f>
        <v>7.3684210526315788</v>
      </c>
      <c r="AF19" s="49">
        <f t="shared" si="13"/>
        <v>7.3684210526315788</v>
      </c>
      <c r="AG19" s="34">
        <f t="shared" si="14"/>
        <v>4.6987489637934257</v>
      </c>
      <c r="AH19" s="52">
        <f t="shared" si="1"/>
        <v>5.2785023046508837</v>
      </c>
    </row>
    <row r="20" spans="1:34" s="11" customFormat="1" x14ac:dyDescent="0.25">
      <c r="A20" s="16" t="s">
        <v>363</v>
      </c>
      <c r="B20" s="11" t="s">
        <v>573</v>
      </c>
      <c r="C20" s="16" t="s">
        <v>364</v>
      </c>
      <c r="D20" s="13">
        <f>IF('Indicator Data'!I22="No data","x",IF('Indicator Data'!I22&gt;D$150,0,IF('Indicator Data'!I22&lt;D$149,10,(D$150-'Indicator Data'!I22)/(D$150-D$149)*10)))</f>
        <v>7.4243183268518091</v>
      </c>
      <c r="E20" s="13">
        <f>IF('Indicator Data'!J22="No data","x",IF('Indicator Data'!J22&gt;E$150,10,IF('Indicator Data'!J22&lt;E$149,0,10-(E$150-'Indicator Data'!J22)/(E$150-E$149)*10)))</f>
        <v>3.5666666666666655</v>
      </c>
      <c r="F20" s="144">
        <f>IF(OR('Indicator Data'!AG22=0,'Indicator Data'!AG22="No data"),"x",IF('Indicator Data'!AG22&gt;F$150,0,IF('Indicator Data'!AG22&lt;F$149,10,(F$150-'Indicator Data'!AG22)/(F$150-F$149)*10)))</f>
        <v>2.5599999999999996</v>
      </c>
      <c r="G20" s="144">
        <f>IF(OR('Indicator Data'!AE22=0,'Indicator Data'!AE22="No data"),"x",IF('Indicator Data'!AE22&gt;G$150,0,IF('Indicator Data'!AE22&lt;G$149,10,(G$150-'Indicator Data'!AE22)/(G$150-G$149)*10)))</f>
        <v>5.34</v>
      </c>
      <c r="H20" s="144">
        <f>IF(OR('Indicator Data'!AF22=0,'Indicator Data'!AF22="No data"),"x",IF('Indicator Data'!AF22&gt;H$150,0,IF('Indicator Data'!AF22&lt;H$149,10,(H$150-'Indicator Data'!AF22)/(H$150-H$149)*10)))</f>
        <v>3.8</v>
      </c>
      <c r="I20" s="144">
        <f t="shared" si="0"/>
        <v>3.9</v>
      </c>
      <c r="J20" s="49">
        <f t="shared" si="2"/>
        <v>5.8371369607172197</v>
      </c>
      <c r="K20" s="13" t="str">
        <f>IF('Indicator Data'!K22="No data","x",IF('Indicator Data'!K22&gt;K$150,10,IF('Indicator Data'!K22&lt;K$149,0,10-(K$150-'Indicator Data'!K22)/(K$150-K$149)*10)))</f>
        <v>x</v>
      </c>
      <c r="L20" s="13">
        <f>IF('Indicator Data'!L22="No data","x",IF('Indicator Data'!L22&gt;L$150,10,IF('Indicator Data'!L22&lt;L$149,0,10-(L$150-'Indicator Data'!L22)/(L$150-L$149)*10)))</f>
        <v>4.9000000000000004</v>
      </c>
      <c r="M20" s="13">
        <f>IF('Indicator Data'!M22="No data","x",IF('Indicator Data'!M22&gt;M$150,10,IF('Indicator Data'!M22&lt;M$149,0,10-(M$150-'Indicator Data'!M22)/(M$150-M$149)*10)))</f>
        <v>2.0927600000000002</v>
      </c>
      <c r="N20" s="144"/>
      <c r="O20" s="49">
        <f t="shared" si="3"/>
        <v>3.4963800000000003</v>
      </c>
      <c r="P20" s="42">
        <f t="shared" si="4"/>
        <v>5.0568846404781462</v>
      </c>
      <c r="Q20" s="33">
        <f>'Indicator Data'!AA22</f>
        <v>14928</v>
      </c>
      <c r="R20" s="13">
        <f t="shared" si="5"/>
        <v>3.9133387546747489</v>
      </c>
      <c r="S20" s="38">
        <f>Q20/'Indicator Data'!AN22</f>
        <v>0.1754171562867215</v>
      </c>
      <c r="T20" s="13">
        <f t="shared" si="6"/>
        <v>10</v>
      </c>
      <c r="U20" s="14">
        <f t="shared" si="7"/>
        <v>6.9566693773373744</v>
      </c>
      <c r="V20" s="33">
        <f>IF('Indicator Data'!Z22="",VLOOKUP($B20,'Indicator Data (national)'!$B$5:$AA$14,26,FALSE),'Indicator Data'!Z22)</f>
        <v>0</v>
      </c>
      <c r="W20" s="13">
        <f t="shared" si="8"/>
        <v>0</v>
      </c>
      <c r="X20" s="38">
        <f>IF('Indicator Data'!Z22="",V20/VLOOKUP($B20,'Indicator Data (national)'!$B$5:$AM$14,38,FALSE),V20/'Indicator Data'!AN22)</f>
        <v>0</v>
      </c>
      <c r="Y20" s="13">
        <f t="shared" si="9"/>
        <v>0</v>
      </c>
      <c r="Z20" s="14">
        <f t="shared" si="10"/>
        <v>0</v>
      </c>
      <c r="AA20" s="149">
        <f t="shared" si="11"/>
        <v>3.4783346886686872</v>
      </c>
      <c r="AB20" s="33">
        <f>VLOOKUP($B20,'Indicator Data (national)'!$B$5:$Z$14,25,FALSE)+VLOOKUP($B20,'Indicator Data (national)'!$B$5:$Z$14,24,FALSE)*0.5+VLOOKUP($B20,'Indicator Data (national)'!$B$5:$Z$14,23,FALSE)*0.25</f>
        <v>0</v>
      </c>
      <c r="AC20" s="39">
        <f>AB20/VLOOKUP($B20,'Indicator Data (national)'!$B$5:$AM$14,38,FALSE)</f>
        <v>0</v>
      </c>
      <c r="AD20" s="49">
        <f t="shared" si="12"/>
        <v>0</v>
      </c>
      <c r="AE20" s="13">
        <f>IF('Indicator Data'!V22="No data","x",IF(('Indicator Data'!V22)&gt;AE$150,10,IF(('Indicator Data'!V22)&lt;AE$149,0,10-(AE$150-('Indicator Data'!V22))/(AE$150-AE$149)*10)))</f>
        <v>5.7894736842105265</v>
      </c>
      <c r="AF20" s="49">
        <f t="shared" si="13"/>
        <v>5.7894736842105265</v>
      </c>
      <c r="AG20" s="34">
        <f t="shared" si="14"/>
        <v>3.4215529480343903</v>
      </c>
      <c r="AH20" s="52">
        <f t="shared" si="1"/>
        <v>1.8677602498002146</v>
      </c>
    </row>
    <row r="21" spans="1:34" s="11" customFormat="1" x14ac:dyDescent="0.25">
      <c r="A21" s="16" t="s">
        <v>365</v>
      </c>
      <c r="B21" s="11" t="s">
        <v>573</v>
      </c>
      <c r="C21" s="16" t="s">
        <v>366</v>
      </c>
      <c r="D21" s="13">
        <f>IF('Indicator Data'!I23="No data","x",IF('Indicator Data'!I23&gt;D$150,0,IF('Indicator Data'!I23&lt;D$149,10,(D$150-'Indicator Data'!I23)/(D$150-D$149)*10)))</f>
        <v>7.4243183268518091</v>
      </c>
      <c r="E21" s="13">
        <f>IF('Indicator Data'!J23="No data","x",IF('Indicator Data'!J23&gt;E$150,10,IF('Indicator Data'!J23&lt;E$149,0,10-(E$150-'Indicator Data'!J23)/(E$150-E$149)*10)))</f>
        <v>3.5666666666666655</v>
      </c>
      <c r="F21" s="144">
        <f>IF(OR('Indicator Data'!AG23=0,'Indicator Data'!AG23="No data"),"x",IF('Indicator Data'!AG23&gt;F$150,0,IF('Indicator Data'!AG23&lt;F$149,10,(F$150-'Indicator Data'!AG23)/(F$150-F$149)*10)))</f>
        <v>2.5599999999999996</v>
      </c>
      <c r="G21" s="144">
        <f>IF(OR('Indicator Data'!AE23=0,'Indicator Data'!AE23="No data"),"x",IF('Indicator Data'!AE23&gt;G$150,0,IF('Indicator Data'!AE23&lt;G$149,10,(G$150-'Indicator Data'!AE23)/(G$150-G$149)*10)))</f>
        <v>5.34</v>
      </c>
      <c r="H21" s="144">
        <f>IF(OR('Indicator Data'!AF23=0,'Indicator Data'!AF23="No data"),"x",IF('Indicator Data'!AF23&gt;H$150,0,IF('Indicator Data'!AF23&lt;H$149,10,(H$150-'Indicator Data'!AF23)/(H$150-H$149)*10)))</f>
        <v>3.8</v>
      </c>
      <c r="I21" s="144">
        <f t="shared" si="0"/>
        <v>3.9</v>
      </c>
      <c r="J21" s="49">
        <f t="shared" si="2"/>
        <v>5.8371369607172197</v>
      </c>
      <c r="K21" s="13" t="str">
        <f>IF('Indicator Data'!K23="No data","x",IF('Indicator Data'!K23&gt;K$150,10,IF('Indicator Data'!K23&lt;K$149,0,10-(K$150-'Indicator Data'!K23)/(K$150-K$149)*10)))</f>
        <v>x</v>
      </c>
      <c r="L21" s="13">
        <f>IF('Indicator Data'!L23="No data","x",IF('Indicator Data'!L23&gt;L$150,10,IF('Indicator Data'!L23&lt;L$149,0,10-(L$150-'Indicator Data'!L23)/(L$150-L$149)*10)))</f>
        <v>4.9000000000000004</v>
      </c>
      <c r="M21" s="13">
        <f>IF('Indicator Data'!M23="No data","x",IF('Indicator Data'!M23&gt;M$150,10,IF('Indicator Data'!M23&lt;M$149,0,10-(M$150-'Indicator Data'!M23)/(M$150-M$149)*10)))</f>
        <v>2.0927600000000002</v>
      </c>
      <c r="N21" s="144"/>
      <c r="O21" s="49">
        <f t="shared" si="3"/>
        <v>3.4963800000000003</v>
      </c>
      <c r="P21" s="42">
        <f t="shared" si="4"/>
        <v>5.0568846404781462</v>
      </c>
      <c r="Q21" s="33">
        <f>'Indicator Data'!AA23</f>
        <v>0</v>
      </c>
      <c r="R21" s="13">
        <f t="shared" si="5"/>
        <v>0</v>
      </c>
      <c r="S21" s="38">
        <f>Q21/'Indicator Data'!AN23</f>
        <v>0</v>
      </c>
      <c r="T21" s="13">
        <f t="shared" si="6"/>
        <v>0</v>
      </c>
      <c r="U21" s="14">
        <f t="shared" si="7"/>
        <v>0</v>
      </c>
      <c r="V21" s="33">
        <f>IF('Indicator Data'!Z23="",VLOOKUP($B21,'Indicator Data (national)'!$B$5:$AA$14,26,FALSE),'Indicator Data'!Z23)</f>
        <v>0</v>
      </c>
      <c r="W21" s="13">
        <f t="shared" si="8"/>
        <v>0</v>
      </c>
      <c r="X21" s="38">
        <f>IF('Indicator Data'!Z23="",V21/VLOOKUP($B21,'Indicator Data (national)'!$B$5:$AM$14,38,FALSE),V21/'Indicator Data'!AN23)</f>
        <v>0</v>
      </c>
      <c r="Y21" s="13">
        <f t="shared" si="9"/>
        <v>0</v>
      </c>
      <c r="Z21" s="14">
        <f t="shared" si="10"/>
        <v>0</v>
      </c>
      <c r="AA21" s="149">
        <f t="shared" si="11"/>
        <v>0</v>
      </c>
      <c r="AB21" s="33">
        <f>VLOOKUP($B21,'Indicator Data (national)'!$B$5:$Z$14,25,FALSE)+VLOOKUP($B21,'Indicator Data (national)'!$B$5:$Z$14,24,FALSE)*0.5+VLOOKUP($B21,'Indicator Data (national)'!$B$5:$Z$14,23,FALSE)*0.25</f>
        <v>0</v>
      </c>
      <c r="AC21" s="39">
        <f>AB21/VLOOKUP($B21,'Indicator Data (national)'!$B$5:$AM$14,38,FALSE)</f>
        <v>0</v>
      </c>
      <c r="AD21" s="49">
        <f t="shared" si="12"/>
        <v>0</v>
      </c>
      <c r="AE21" s="13">
        <f>IF('Indicator Data'!V23="No data","x",IF(('Indicator Data'!V23)&gt;AE$150,10,IF(('Indicator Data'!V23)&lt;AE$149,0,10-(AE$150-('Indicator Data'!V23))/(AE$150-AE$149)*10)))</f>
        <v>10</v>
      </c>
      <c r="AF21" s="49">
        <f t="shared" si="13"/>
        <v>10</v>
      </c>
      <c r="AG21" s="34">
        <f t="shared" si="14"/>
        <v>7.5974692664795773</v>
      </c>
      <c r="AH21" s="52">
        <f t="shared" si="1"/>
        <v>4.8628741645516751</v>
      </c>
    </row>
    <row r="22" spans="1:34" s="11" customFormat="1" x14ac:dyDescent="0.25">
      <c r="A22" s="16" t="s">
        <v>362</v>
      </c>
      <c r="B22" s="11" t="s">
        <v>573</v>
      </c>
      <c r="C22" s="16" t="s">
        <v>367</v>
      </c>
      <c r="D22" s="13">
        <f>IF('Indicator Data'!I24="No data","x",IF('Indicator Data'!I24&gt;D$150,0,IF('Indicator Data'!I24&lt;D$149,10,(D$150-'Indicator Data'!I24)/(D$150-D$149)*10)))</f>
        <v>7.4243183268518091</v>
      </c>
      <c r="E22" s="13">
        <f>IF('Indicator Data'!J24="No data","x",IF('Indicator Data'!J24&gt;E$150,10,IF('Indicator Data'!J24&lt;E$149,0,10-(E$150-'Indicator Data'!J24)/(E$150-E$149)*10)))</f>
        <v>2.0833333333333339</v>
      </c>
      <c r="F22" s="144">
        <f>IF(OR('Indicator Data'!AG24=0,'Indicator Data'!AG24="No data"),"x",IF('Indicator Data'!AG24&gt;F$150,0,IF('Indicator Data'!AG24&lt;F$149,10,(F$150-'Indicator Data'!AG24)/(F$150-F$149)*10)))</f>
        <v>0.64000000000000057</v>
      </c>
      <c r="G22" s="144">
        <f>IF(OR('Indicator Data'!AE24=0,'Indicator Data'!AE24="No data"),"x",IF('Indicator Data'!AE24&gt;G$150,0,IF('Indicator Data'!AE24&lt;G$149,10,(G$150-'Indicator Data'!AE24)/(G$150-G$149)*10)))</f>
        <v>2.7700000000000005</v>
      </c>
      <c r="H22" s="144">
        <f>IF(OR('Indicator Data'!AF24=0,'Indicator Data'!AF24="No data"),"x",IF('Indicator Data'!AF24&gt;H$150,0,IF('Indicator Data'!AF24&lt;H$149,10,(H$150-'Indicator Data'!AF24)/(H$150-H$149)*10)))</f>
        <v>3.6399999999999997</v>
      </c>
      <c r="I22" s="144">
        <f t="shared" si="0"/>
        <v>2.35</v>
      </c>
      <c r="J22" s="49">
        <f t="shared" si="2"/>
        <v>5.3419217426636179</v>
      </c>
      <c r="K22" s="13" t="str">
        <f>IF('Indicator Data'!K24="No data","x",IF('Indicator Data'!K24&gt;K$150,10,IF('Indicator Data'!K24&lt;K$149,0,10-(K$150-'Indicator Data'!K24)/(K$150-K$149)*10)))</f>
        <v>x</v>
      </c>
      <c r="L22" s="13">
        <f>IF('Indicator Data'!L24="No data","x",IF('Indicator Data'!L24&gt;L$150,10,IF('Indicator Data'!L24&lt;L$149,0,10-(L$150-'Indicator Data'!L24)/(L$150-L$149)*10)))</f>
        <v>4.1749999999999998</v>
      </c>
      <c r="M22" s="13">
        <f>IF('Indicator Data'!M24="No data","x",IF('Indicator Data'!M24&gt;M$150,10,IF('Indicator Data'!M24&lt;M$149,0,10-(M$150-'Indicator Data'!M24)/(M$150-M$149)*10)))</f>
        <v>2.2120039999999994</v>
      </c>
      <c r="N22" s="144"/>
      <c r="O22" s="49">
        <f t="shared" si="3"/>
        <v>3.1935019999999996</v>
      </c>
      <c r="P22" s="42">
        <f t="shared" si="4"/>
        <v>4.6257818284424124</v>
      </c>
      <c r="Q22" s="33">
        <f>'Indicator Data'!AA24</f>
        <v>0</v>
      </c>
      <c r="R22" s="13">
        <f t="shared" si="5"/>
        <v>0</v>
      </c>
      <c r="S22" s="38">
        <f>Q22/'Indicator Data'!AN24</f>
        <v>0</v>
      </c>
      <c r="T22" s="13">
        <f t="shared" si="6"/>
        <v>0</v>
      </c>
      <c r="U22" s="14">
        <f t="shared" si="7"/>
        <v>0</v>
      </c>
      <c r="V22" s="33">
        <f>IF('Indicator Data'!Z24="",VLOOKUP($B22,'Indicator Data (national)'!$B$5:$AA$14,26,FALSE),'Indicator Data'!Z24)</f>
        <v>0</v>
      </c>
      <c r="W22" s="13">
        <f t="shared" si="8"/>
        <v>0</v>
      </c>
      <c r="X22" s="38">
        <f>IF('Indicator Data'!Z24="",V22/VLOOKUP($B22,'Indicator Data (national)'!$B$5:$AM$14,38,FALSE),V22/'Indicator Data'!AN24)</f>
        <v>0</v>
      </c>
      <c r="Y22" s="13">
        <f t="shared" si="9"/>
        <v>0</v>
      </c>
      <c r="Z22" s="14">
        <f t="shared" si="10"/>
        <v>0</v>
      </c>
      <c r="AA22" s="149">
        <f t="shared" si="11"/>
        <v>0</v>
      </c>
      <c r="AB22" s="33">
        <f>VLOOKUP($B22,'Indicator Data (national)'!$B$5:$Z$14,25,FALSE)+VLOOKUP($B22,'Indicator Data (national)'!$B$5:$Z$14,24,FALSE)*0.5+VLOOKUP($B22,'Indicator Data (national)'!$B$5:$Z$14,23,FALSE)*0.25</f>
        <v>0</v>
      </c>
      <c r="AC22" s="39">
        <f>AB22/VLOOKUP($B22,'Indicator Data (national)'!$B$5:$AM$14,38,FALSE)</f>
        <v>0</v>
      </c>
      <c r="AD22" s="49">
        <f t="shared" si="12"/>
        <v>0</v>
      </c>
      <c r="AE22" s="13">
        <f>IF('Indicator Data'!V24="No data","x",IF(('Indicator Data'!V24)&gt;AE$150,10,IF(('Indicator Data'!V24)&lt;AE$149,0,10-(AE$150-('Indicator Data'!V24))/(AE$150-AE$149)*10)))</f>
        <v>10</v>
      </c>
      <c r="AF22" s="49">
        <f t="shared" si="13"/>
        <v>10</v>
      </c>
      <c r="AG22" s="34">
        <f t="shared" si="14"/>
        <v>7.5974692664795773</v>
      </c>
      <c r="AH22" s="52">
        <f t="shared" si="1"/>
        <v>4.8628741645516751</v>
      </c>
    </row>
    <row r="23" spans="1:34" s="11" customFormat="1" x14ac:dyDescent="0.25">
      <c r="A23" s="16" t="s">
        <v>368</v>
      </c>
      <c r="B23" s="11" t="s">
        <v>573</v>
      </c>
      <c r="C23" s="16" t="s">
        <v>369</v>
      </c>
      <c r="D23" s="13">
        <f>IF('Indicator Data'!I25="No data","x",IF('Indicator Data'!I25&gt;D$150,0,IF('Indicator Data'!I25&lt;D$149,10,(D$150-'Indicator Data'!I25)/(D$150-D$149)*10)))</f>
        <v>7.4243183268518091</v>
      </c>
      <c r="E23" s="13">
        <f>IF('Indicator Data'!J25="No data","x",IF('Indicator Data'!J25&gt;E$150,10,IF('Indicator Data'!J25&lt;E$149,0,10-(E$150-'Indicator Data'!J25)/(E$150-E$149)*10)))</f>
        <v>3.5666666666666655</v>
      </c>
      <c r="F23" s="144">
        <f>IF(OR('Indicator Data'!AG25=0,'Indicator Data'!AG25="No data"),"x",IF('Indicator Data'!AG25&gt;F$150,0,IF('Indicator Data'!AG25&lt;F$149,10,(F$150-'Indicator Data'!AG25)/(F$150-F$149)*10)))</f>
        <v>2.5599999999999996</v>
      </c>
      <c r="G23" s="144">
        <f>IF(OR('Indicator Data'!AE25=0,'Indicator Data'!AE25="No data"),"x",IF('Indicator Data'!AE25&gt;G$150,0,IF('Indicator Data'!AE25&lt;G$149,10,(G$150-'Indicator Data'!AE25)/(G$150-G$149)*10)))</f>
        <v>5.34</v>
      </c>
      <c r="H23" s="144">
        <f>IF(OR('Indicator Data'!AF25=0,'Indicator Data'!AF25="No data"),"x",IF('Indicator Data'!AF25&gt;H$150,0,IF('Indicator Data'!AF25&lt;H$149,10,(H$150-'Indicator Data'!AF25)/(H$150-H$149)*10)))</f>
        <v>3.8</v>
      </c>
      <c r="I23" s="144">
        <f t="shared" si="0"/>
        <v>3.9</v>
      </c>
      <c r="J23" s="49">
        <f t="shared" si="2"/>
        <v>5.8371369607172197</v>
      </c>
      <c r="K23" s="13" t="str">
        <f>IF('Indicator Data'!K25="No data","x",IF('Indicator Data'!K25&gt;K$150,10,IF('Indicator Data'!K25&lt;K$149,0,10-(K$150-'Indicator Data'!K25)/(K$150-K$149)*10)))</f>
        <v>x</v>
      </c>
      <c r="L23" s="13">
        <f>IF('Indicator Data'!L25="No data","x",IF('Indicator Data'!L25&gt;L$150,10,IF('Indicator Data'!L25&lt;L$149,0,10-(L$150-'Indicator Data'!L25)/(L$150-L$149)*10)))</f>
        <v>4.9000000000000004</v>
      </c>
      <c r="M23" s="13">
        <f>IF('Indicator Data'!M25="No data","x",IF('Indicator Data'!M25&gt;M$150,10,IF('Indicator Data'!M25&lt;M$149,0,10-(M$150-'Indicator Data'!M25)/(M$150-M$149)*10)))</f>
        <v>2.0927600000000002</v>
      </c>
      <c r="N23" s="144"/>
      <c r="O23" s="49">
        <f t="shared" si="3"/>
        <v>3.4963800000000003</v>
      </c>
      <c r="P23" s="42">
        <f t="shared" si="4"/>
        <v>5.0568846404781462</v>
      </c>
      <c r="Q23" s="33">
        <f>'Indicator Data'!AA25</f>
        <v>0</v>
      </c>
      <c r="R23" s="13">
        <f t="shared" si="5"/>
        <v>0</v>
      </c>
      <c r="S23" s="38">
        <f>Q23/'Indicator Data'!AN25</f>
        <v>0</v>
      </c>
      <c r="T23" s="13">
        <f t="shared" si="6"/>
        <v>0</v>
      </c>
      <c r="U23" s="14">
        <f t="shared" si="7"/>
        <v>0</v>
      </c>
      <c r="V23" s="33">
        <f>IF('Indicator Data'!Z25="",VLOOKUP($B23,'Indicator Data (national)'!$B$5:$AA$14,26,FALSE),'Indicator Data'!Z25)</f>
        <v>0</v>
      </c>
      <c r="W23" s="13">
        <f t="shared" si="8"/>
        <v>0</v>
      </c>
      <c r="X23" s="38">
        <f>IF('Indicator Data'!Z25="",V23/VLOOKUP($B23,'Indicator Data (national)'!$B$5:$AM$14,38,FALSE),V23/'Indicator Data'!AN25)</f>
        <v>0</v>
      </c>
      <c r="Y23" s="13">
        <f t="shared" si="9"/>
        <v>0</v>
      </c>
      <c r="Z23" s="14">
        <f t="shared" si="10"/>
        <v>0</v>
      </c>
      <c r="AA23" s="149">
        <f t="shared" si="11"/>
        <v>0</v>
      </c>
      <c r="AB23" s="33">
        <f>VLOOKUP($B23,'Indicator Data (national)'!$B$5:$Z$14,25,FALSE)+VLOOKUP($B23,'Indicator Data (national)'!$B$5:$Z$14,24,FALSE)*0.5+VLOOKUP($B23,'Indicator Data (national)'!$B$5:$Z$14,23,FALSE)*0.25</f>
        <v>0</v>
      </c>
      <c r="AC23" s="39">
        <f>AB23/VLOOKUP($B23,'Indicator Data (national)'!$B$5:$AM$14,38,FALSE)</f>
        <v>0</v>
      </c>
      <c r="AD23" s="49">
        <f t="shared" si="12"/>
        <v>0</v>
      </c>
      <c r="AE23" s="13">
        <f>IF('Indicator Data'!V25="No data","x",IF(('Indicator Data'!V25)&gt;AE$150,10,IF(('Indicator Data'!V25)&lt;AE$149,0,10-(AE$150-('Indicator Data'!V25))/(AE$150-AE$149)*10)))</f>
        <v>10</v>
      </c>
      <c r="AF23" s="49">
        <f t="shared" si="13"/>
        <v>10</v>
      </c>
      <c r="AG23" s="34">
        <f t="shared" si="14"/>
        <v>7.5974692664795773</v>
      </c>
      <c r="AH23" s="52">
        <f t="shared" si="1"/>
        <v>4.8628741645516751</v>
      </c>
    </row>
    <row r="24" spans="1:34" s="11" customFormat="1" x14ac:dyDescent="0.25">
      <c r="A24" s="16" t="s">
        <v>370</v>
      </c>
      <c r="B24" s="11" t="s">
        <v>573</v>
      </c>
      <c r="C24" s="16" t="s">
        <v>371</v>
      </c>
      <c r="D24" s="13">
        <f>IF('Indicator Data'!I26="No data","x",IF('Indicator Data'!I26&gt;D$150,0,IF('Indicator Data'!I26&lt;D$149,10,(D$150-'Indicator Data'!I26)/(D$150-D$149)*10)))</f>
        <v>7.4243183268518091</v>
      </c>
      <c r="E24" s="13">
        <f>IF('Indicator Data'!J26="No data","x",IF('Indicator Data'!J26&gt;E$150,10,IF('Indicator Data'!J26&lt;E$149,0,10-(E$150-'Indicator Data'!J26)/(E$150-E$149)*10)))</f>
        <v>3.5666666666666655</v>
      </c>
      <c r="F24" s="144">
        <f>IF(OR('Indicator Data'!AG26=0,'Indicator Data'!AG26="No data"),"x",IF('Indicator Data'!AG26&gt;F$150,0,IF('Indicator Data'!AG26&lt;F$149,10,(F$150-'Indicator Data'!AG26)/(F$150-F$149)*10)))</f>
        <v>2.5599999999999996</v>
      </c>
      <c r="G24" s="144">
        <f>IF(OR('Indicator Data'!AE26=0,'Indicator Data'!AE26="No data"),"x",IF('Indicator Data'!AE26&gt;G$150,0,IF('Indicator Data'!AE26&lt;G$149,10,(G$150-'Indicator Data'!AE26)/(G$150-G$149)*10)))</f>
        <v>5.34</v>
      </c>
      <c r="H24" s="144">
        <f>IF(OR('Indicator Data'!AF26=0,'Indicator Data'!AF26="No data"),"x",IF('Indicator Data'!AF26&gt;H$150,0,IF('Indicator Data'!AF26&lt;H$149,10,(H$150-'Indicator Data'!AF26)/(H$150-H$149)*10)))</f>
        <v>3.8</v>
      </c>
      <c r="I24" s="144">
        <f t="shared" si="0"/>
        <v>3.9</v>
      </c>
      <c r="J24" s="49">
        <f t="shared" si="2"/>
        <v>5.8371369607172197</v>
      </c>
      <c r="K24" s="13" t="str">
        <f>IF('Indicator Data'!K26="No data","x",IF('Indicator Data'!K26&gt;K$150,10,IF('Indicator Data'!K26&lt;K$149,0,10-(K$150-'Indicator Data'!K26)/(K$150-K$149)*10)))</f>
        <v>x</v>
      </c>
      <c r="L24" s="13">
        <f>IF('Indicator Data'!L26="No data","x",IF('Indicator Data'!L26&gt;L$150,10,IF('Indicator Data'!L26&lt;L$149,0,10-(L$150-'Indicator Data'!L26)/(L$150-L$149)*10)))</f>
        <v>4.9000000000000004</v>
      </c>
      <c r="M24" s="13">
        <f>IF('Indicator Data'!M26="No data","x",IF('Indicator Data'!M26&gt;M$150,10,IF('Indicator Data'!M26&lt;M$149,0,10-(M$150-'Indicator Data'!M26)/(M$150-M$149)*10)))</f>
        <v>2.0927600000000002</v>
      </c>
      <c r="N24" s="144"/>
      <c r="O24" s="49">
        <f t="shared" si="3"/>
        <v>3.4963800000000003</v>
      </c>
      <c r="P24" s="42">
        <f t="shared" si="4"/>
        <v>5.0568846404781462</v>
      </c>
      <c r="Q24" s="33">
        <f>'Indicator Data'!AA26</f>
        <v>0</v>
      </c>
      <c r="R24" s="13">
        <f t="shared" si="5"/>
        <v>0</v>
      </c>
      <c r="S24" s="38">
        <f>Q24/'Indicator Data'!AN26</f>
        <v>0</v>
      </c>
      <c r="T24" s="13">
        <f t="shared" si="6"/>
        <v>0</v>
      </c>
      <c r="U24" s="14">
        <f t="shared" si="7"/>
        <v>0</v>
      </c>
      <c r="V24" s="33">
        <f>IF('Indicator Data'!Z26="",VLOOKUP($B24,'Indicator Data (national)'!$B$5:$AA$14,26,FALSE),'Indicator Data'!Z26)</f>
        <v>0</v>
      </c>
      <c r="W24" s="13">
        <f t="shared" si="8"/>
        <v>0</v>
      </c>
      <c r="X24" s="38">
        <f>IF('Indicator Data'!Z26="",V24/VLOOKUP($B24,'Indicator Data (national)'!$B$5:$AM$14,38,FALSE),V24/'Indicator Data'!AN26)</f>
        <v>0</v>
      </c>
      <c r="Y24" s="13">
        <f t="shared" si="9"/>
        <v>0</v>
      </c>
      <c r="Z24" s="14">
        <f t="shared" si="10"/>
        <v>0</v>
      </c>
      <c r="AA24" s="149">
        <f t="shared" si="11"/>
        <v>0</v>
      </c>
      <c r="AB24" s="33">
        <f>VLOOKUP($B24,'Indicator Data (national)'!$B$5:$Z$14,25,FALSE)+VLOOKUP($B24,'Indicator Data (national)'!$B$5:$Z$14,24,FALSE)*0.5+VLOOKUP($B24,'Indicator Data (national)'!$B$5:$Z$14,23,FALSE)*0.25</f>
        <v>0</v>
      </c>
      <c r="AC24" s="39">
        <f>AB24/VLOOKUP($B24,'Indicator Data (national)'!$B$5:$AM$14,38,FALSE)</f>
        <v>0</v>
      </c>
      <c r="AD24" s="49">
        <f t="shared" si="12"/>
        <v>0</v>
      </c>
      <c r="AE24" s="13">
        <f>IF('Indicator Data'!V26="No data","x",IF(('Indicator Data'!V26)&gt;AE$150,10,IF(('Indicator Data'!V26)&lt;AE$149,0,10-(AE$150-('Indicator Data'!V26))/(AE$150-AE$149)*10)))</f>
        <v>0</v>
      </c>
      <c r="AF24" s="49">
        <f t="shared" si="13"/>
        <v>0</v>
      </c>
      <c r="AG24" s="34">
        <f t="shared" si="14"/>
        <v>0</v>
      </c>
      <c r="AH24" s="52">
        <f t="shared" si="1"/>
        <v>0</v>
      </c>
    </row>
    <row r="25" spans="1:34" s="11" customFormat="1" x14ac:dyDescent="0.25">
      <c r="A25" s="16" t="s">
        <v>373</v>
      </c>
      <c r="B25" s="11" t="s">
        <v>574</v>
      </c>
      <c r="C25" s="16" t="s">
        <v>374</v>
      </c>
      <c r="D25" s="13">
        <f>IF('Indicator Data'!I27="No data","x",IF('Indicator Data'!I27&gt;D$150,0,IF('Indicator Data'!I27&lt;D$149,10,(D$150-'Indicator Data'!I27)/(D$150-D$149)*10)))</f>
        <v>8.7545993582885924</v>
      </c>
      <c r="E25" s="13" t="str">
        <f>IF('Indicator Data'!J27="No data","x",IF('Indicator Data'!J27&gt;E$150,10,IF('Indicator Data'!J27&lt;E$149,0,10-(E$150-'Indicator Data'!J27)/(E$150-E$149)*10)))</f>
        <v>x</v>
      </c>
      <c r="F25" s="144">
        <f>IF(OR('Indicator Data'!AG27=0,'Indicator Data'!AG27="No data"),"x",IF('Indicator Data'!AG27&gt;F$150,0,IF('Indicator Data'!AG27&lt;F$149,10,(F$150-'Indicator Data'!AG27)/(F$150-F$149)*10)))</f>
        <v>3.9799999999999995</v>
      </c>
      <c r="G25" s="144">
        <f>IF(OR('Indicator Data'!AE27=0,'Indicator Data'!AE27="No data"),"x",IF('Indicator Data'!AE27&gt;G$150,0,IF('Indicator Data'!AE27&lt;G$149,10,(G$150-'Indicator Data'!AE27)/(G$150-G$149)*10)))</f>
        <v>6.75</v>
      </c>
      <c r="H25" s="144">
        <f>IF(OR('Indicator Data'!AF27=0,'Indicator Data'!AF27="No data"),"x",IF('Indicator Data'!AF27&gt;H$150,0,IF('Indicator Data'!AF27&lt;H$149,10,(H$150-'Indicator Data'!AF27)/(H$150-H$149)*10)))</f>
        <v>8.68</v>
      </c>
      <c r="I25" s="144">
        <f t="shared" si="0"/>
        <v>6.47</v>
      </c>
      <c r="J25" s="49">
        <f t="shared" si="2"/>
        <v>7.804022832959391</v>
      </c>
      <c r="K25" s="13" t="str">
        <f>IF('Indicator Data'!K27="No data","x",IF('Indicator Data'!K27&gt;K$150,10,IF('Indicator Data'!K27&lt;K$149,0,10-(K$150-'Indicator Data'!K27)/(K$150-K$149)*10)))</f>
        <v>x</v>
      </c>
      <c r="L25" s="13" t="str">
        <f>IF('Indicator Data'!L27="No data","x",IF('Indicator Data'!L27&gt;L$150,10,IF('Indicator Data'!L27&lt;L$149,0,10-(L$150-'Indicator Data'!L27)/(L$150-L$149)*10)))</f>
        <v>x</v>
      </c>
      <c r="M25" s="13" t="str">
        <f>IF('Indicator Data'!M27="No data","x",IF('Indicator Data'!M27&gt;M$150,10,IF('Indicator Data'!M27&lt;M$149,0,10-(M$150-'Indicator Data'!M27)/(M$150-M$149)*10)))</f>
        <v>x</v>
      </c>
      <c r="N25" s="150" t="s">
        <v>744</v>
      </c>
      <c r="O25" s="49" t="str">
        <f t="shared" si="3"/>
        <v>x</v>
      </c>
      <c r="P25" s="42">
        <f t="shared" si="4"/>
        <v>7.804022832959391</v>
      </c>
      <c r="Q25" s="33">
        <f>'Indicator Data'!AA27</f>
        <v>0</v>
      </c>
      <c r="R25" s="13">
        <f t="shared" si="5"/>
        <v>0</v>
      </c>
      <c r="S25" s="38">
        <f>Q25/'Indicator Data'!AN27</f>
        <v>0</v>
      </c>
      <c r="T25" s="13">
        <f t="shared" si="6"/>
        <v>0</v>
      </c>
      <c r="U25" s="14">
        <f t="shared" si="7"/>
        <v>0</v>
      </c>
      <c r="V25" s="33">
        <f>IF('Indicator Data'!Z27="",VLOOKUP($B25,'Indicator Data (national)'!$B$5:$AA$14,26,FALSE),'Indicator Data'!Z27)</f>
        <v>10000</v>
      </c>
      <c r="W25" s="13">
        <f t="shared" si="8"/>
        <v>3.3333333333333339</v>
      </c>
      <c r="X25" s="38">
        <f>IF('Indicator Data'!Z27="",V25/VLOOKUP($B25,'Indicator Data (national)'!$B$5:$AM$14,38,FALSE),V25/'Indicator Data'!AN27)</f>
        <v>1.5789968159529207E-3</v>
      </c>
      <c r="Y25" s="13">
        <f t="shared" si="9"/>
        <v>3.5702583527884952</v>
      </c>
      <c r="Z25" s="14">
        <f t="shared" si="10"/>
        <v>3.4517958430609146</v>
      </c>
      <c r="AA25" s="149">
        <f t="shared" si="11"/>
        <v>1.7258979215304573</v>
      </c>
      <c r="AB25" s="33">
        <f>VLOOKUP($B25,'Indicator Data (national)'!$B$5:$Z$14,25,FALSE)+VLOOKUP($B25,'Indicator Data (national)'!$B$5:$Z$14,24,FALSE)*0.5+VLOOKUP($B25,'Indicator Data (national)'!$B$5:$Z$14,23,FALSE)*0.25</f>
        <v>0</v>
      </c>
      <c r="AC25" s="39">
        <f>AB25/VLOOKUP($B25,'Indicator Data (national)'!$B$5:$AM$14,38,FALSE)</f>
        <v>0</v>
      </c>
      <c r="AD25" s="49">
        <f t="shared" si="12"/>
        <v>0</v>
      </c>
      <c r="AE25" s="13" t="str">
        <f>IF('Indicator Data'!V27="No data","x",IF(('Indicator Data'!V27)&gt;AE$150,10,IF(('Indicator Data'!V27)&lt;AE$149,0,10-(AE$150-('Indicator Data'!V27))/(AE$150-AE$149)*10)))</f>
        <v>x</v>
      </c>
      <c r="AF25" s="49" t="str">
        <f t="shared" si="13"/>
        <v>x</v>
      </c>
      <c r="AG25" s="34">
        <f t="shared" si="14"/>
        <v>0</v>
      </c>
      <c r="AH25" s="52">
        <f t="shared" si="1"/>
        <v>1.8859551244442447</v>
      </c>
    </row>
    <row r="26" spans="1:34" s="11" customFormat="1" x14ac:dyDescent="0.25">
      <c r="A26" s="16" t="s">
        <v>375</v>
      </c>
      <c r="B26" s="11" t="s">
        <v>574</v>
      </c>
      <c r="C26" s="16" t="s">
        <v>376</v>
      </c>
      <c r="D26" s="13">
        <f>IF('Indicator Data'!I28="No data","x",IF('Indicator Data'!I28&gt;D$150,0,IF('Indicator Data'!I28&lt;D$149,10,(D$150-'Indicator Data'!I28)/(D$150-D$149)*10)))</f>
        <v>8.7545993582885924</v>
      </c>
      <c r="E26" s="13" t="str">
        <f>IF('Indicator Data'!J28="No data","x",IF('Indicator Data'!J28&gt;E$150,10,IF('Indicator Data'!J28&lt;E$149,0,10-(E$150-'Indicator Data'!J28)/(E$150-E$149)*10)))</f>
        <v>x</v>
      </c>
      <c r="F26" s="144">
        <f>IF(OR('Indicator Data'!AG28=0,'Indicator Data'!AG28="No data"),"x",IF('Indicator Data'!AG28&gt;F$150,0,IF('Indicator Data'!AG28&lt;F$149,10,(F$150-'Indicator Data'!AG28)/(F$150-F$149)*10)))</f>
        <v>3.9799999999999995</v>
      </c>
      <c r="G26" s="144">
        <f>IF(OR('Indicator Data'!AE28=0,'Indicator Data'!AE28="No data"),"x",IF('Indicator Data'!AE28&gt;G$150,0,IF('Indicator Data'!AE28&lt;G$149,10,(G$150-'Indicator Data'!AE28)/(G$150-G$149)*10)))</f>
        <v>6.75</v>
      </c>
      <c r="H26" s="144">
        <f>IF(OR('Indicator Data'!AF28=0,'Indicator Data'!AF28="No data"),"x",IF('Indicator Data'!AF28&gt;H$150,0,IF('Indicator Data'!AF28&lt;H$149,10,(H$150-'Indicator Data'!AF28)/(H$150-H$149)*10)))</f>
        <v>8.68</v>
      </c>
      <c r="I26" s="144">
        <f t="shared" si="0"/>
        <v>6.47</v>
      </c>
      <c r="J26" s="49">
        <f t="shared" si="2"/>
        <v>7.804022832959391</v>
      </c>
      <c r="K26" s="13" t="str">
        <f>IF('Indicator Data'!K28="No data","x",IF('Indicator Data'!K28&gt;K$150,10,IF('Indicator Data'!K28&lt;K$149,0,10-(K$150-'Indicator Data'!K28)/(K$150-K$149)*10)))</f>
        <v>x</v>
      </c>
      <c r="L26" s="13" t="str">
        <f>IF('Indicator Data'!L28="No data","x",IF('Indicator Data'!L28&gt;L$150,10,IF('Indicator Data'!L28&lt;L$149,0,10-(L$150-'Indicator Data'!L28)/(L$150-L$149)*10)))</f>
        <v>x</v>
      </c>
      <c r="M26" s="13" t="str">
        <f>IF('Indicator Data'!M28="No data","x",IF('Indicator Data'!M28&gt;M$150,10,IF('Indicator Data'!M28&lt;M$149,0,10-(M$150-'Indicator Data'!M28)/(M$150-M$149)*10)))</f>
        <v>x</v>
      </c>
      <c r="N26" s="150" t="s">
        <v>744</v>
      </c>
      <c r="O26" s="49" t="str">
        <f t="shared" si="3"/>
        <v>x</v>
      </c>
      <c r="P26" s="42">
        <f t="shared" si="4"/>
        <v>7.804022832959391</v>
      </c>
      <c r="Q26" s="33">
        <f>'Indicator Data'!AA28</f>
        <v>0</v>
      </c>
      <c r="R26" s="13">
        <f t="shared" si="5"/>
        <v>0</v>
      </c>
      <c r="S26" s="38">
        <f>Q26/'Indicator Data'!AN28</f>
        <v>0</v>
      </c>
      <c r="T26" s="13">
        <f t="shared" si="6"/>
        <v>0</v>
      </c>
      <c r="U26" s="14">
        <f t="shared" si="7"/>
        <v>0</v>
      </c>
      <c r="V26" s="33">
        <f>IF('Indicator Data'!Z28="",VLOOKUP($B26,'Indicator Data (national)'!$B$5:$AA$14,26,FALSE),'Indicator Data'!Z28)</f>
        <v>10000</v>
      </c>
      <c r="W26" s="13">
        <f t="shared" si="8"/>
        <v>3.3333333333333339</v>
      </c>
      <c r="X26" s="38">
        <f>IF('Indicator Data'!Z28="",V26/VLOOKUP($B26,'Indicator Data (national)'!$B$5:$AM$14,38,FALSE),V26/'Indicator Data'!AN28)</f>
        <v>1.5789968159529207E-3</v>
      </c>
      <c r="Y26" s="13">
        <f t="shared" si="9"/>
        <v>3.5702583527884952</v>
      </c>
      <c r="Z26" s="14">
        <f t="shared" si="10"/>
        <v>3.4517958430609146</v>
      </c>
      <c r="AA26" s="149">
        <f t="shared" si="11"/>
        <v>1.7258979215304573</v>
      </c>
      <c r="AB26" s="33">
        <f>VLOOKUP($B26,'Indicator Data (national)'!$B$5:$Z$14,25,FALSE)+VLOOKUP($B26,'Indicator Data (national)'!$B$5:$Z$14,24,FALSE)*0.5+VLOOKUP($B26,'Indicator Data (national)'!$B$5:$Z$14,23,FALSE)*0.25</f>
        <v>0</v>
      </c>
      <c r="AC26" s="39">
        <f>AB26/VLOOKUP($B26,'Indicator Data (national)'!$B$5:$AM$14,38,FALSE)</f>
        <v>0</v>
      </c>
      <c r="AD26" s="49">
        <f t="shared" si="12"/>
        <v>0</v>
      </c>
      <c r="AE26" s="13" t="str">
        <f>IF('Indicator Data'!V28="No data","x",IF(('Indicator Data'!V28)&gt;AE$150,10,IF(('Indicator Data'!V28)&lt;AE$149,0,10-(AE$150-('Indicator Data'!V28))/(AE$150-AE$149)*10)))</f>
        <v>x</v>
      </c>
      <c r="AF26" s="49" t="str">
        <f t="shared" si="13"/>
        <v>x</v>
      </c>
      <c r="AG26" s="34">
        <f t="shared" si="14"/>
        <v>0</v>
      </c>
      <c r="AH26" s="52">
        <f t="shared" si="1"/>
        <v>1.8859551244442447</v>
      </c>
    </row>
    <row r="27" spans="1:34" s="11" customFormat="1" x14ac:dyDescent="0.25">
      <c r="A27" s="16" t="s">
        <v>377</v>
      </c>
      <c r="B27" s="11" t="s">
        <v>574</v>
      </c>
      <c r="C27" s="16" t="s">
        <v>378</v>
      </c>
      <c r="D27" s="13">
        <f>IF('Indicator Data'!I29="No data","x",IF('Indicator Data'!I29&gt;D$150,0,IF('Indicator Data'!I29&lt;D$149,10,(D$150-'Indicator Data'!I29)/(D$150-D$149)*10)))</f>
        <v>8.7545993582885924</v>
      </c>
      <c r="E27" s="13" t="str">
        <f>IF('Indicator Data'!J29="No data","x",IF('Indicator Data'!J29&gt;E$150,10,IF('Indicator Data'!J29&lt;E$149,0,10-(E$150-'Indicator Data'!J29)/(E$150-E$149)*10)))</f>
        <v>x</v>
      </c>
      <c r="F27" s="144">
        <f>IF(OR('Indicator Data'!AG29=0,'Indicator Data'!AG29="No data"),"x",IF('Indicator Data'!AG29&gt;F$150,0,IF('Indicator Data'!AG29&lt;F$149,10,(F$150-'Indicator Data'!AG29)/(F$150-F$149)*10)))</f>
        <v>3.9799999999999995</v>
      </c>
      <c r="G27" s="144">
        <f>IF(OR('Indicator Data'!AE29=0,'Indicator Data'!AE29="No data"),"x",IF('Indicator Data'!AE29&gt;G$150,0,IF('Indicator Data'!AE29&lt;G$149,10,(G$150-'Indicator Data'!AE29)/(G$150-G$149)*10)))</f>
        <v>6.75</v>
      </c>
      <c r="H27" s="144">
        <f>IF(OR('Indicator Data'!AF29=0,'Indicator Data'!AF29="No data"),"x",IF('Indicator Data'!AF29&gt;H$150,0,IF('Indicator Data'!AF29&lt;H$149,10,(H$150-'Indicator Data'!AF29)/(H$150-H$149)*10)))</f>
        <v>8.68</v>
      </c>
      <c r="I27" s="144">
        <f t="shared" si="0"/>
        <v>6.47</v>
      </c>
      <c r="J27" s="49">
        <f t="shared" si="2"/>
        <v>7.804022832959391</v>
      </c>
      <c r="K27" s="13" t="str">
        <f>IF('Indicator Data'!K29="No data","x",IF('Indicator Data'!K29&gt;K$150,10,IF('Indicator Data'!K29&lt;K$149,0,10-(K$150-'Indicator Data'!K29)/(K$150-K$149)*10)))</f>
        <v>x</v>
      </c>
      <c r="L27" s="13" t="str">
        <f>IF('Indicator Data'!L29="No data","x",IF('Indicator Data'!L29&gt;L$150,10,IF('Indicator Data'!L29&lt;L$149,0,10-(L$150-'Indicator Data'!L29)/(L$150-L$149)*10)))</f>
        <v>x</v>
      </c>
      <c r="M27" s="13" t="str">
        <f>IF('Indicator Data'!M29="No data","x",IF('Indicator Data'!M29&gt;M$150,10,IF('Indicator Data'!M29&lt;M$149,0,10-(M$150-'Indicator Data'!M29)/(M$150-M$149)*10)))</f>
        <v>x</v>
      </c>
      <c r="N27" s="150" t="s">
        <v>744</v>
      </c>
      <c r="O27" s="49" t="str">
        <f t="shared" si="3"/>
        <v>x</v>
      </c>
      <c r="P27" s="42">
        <f t="shared" si="4"/>
        <v>7.804022832959391</v>
      </c>
      <c r="Q27" s="33">
        <f>'Indicator Data'!AA29</f>
        <v>0</v>
      </c>
      <c r="R27" s="13">
        <f t="shared" si="5"/>
        <v>0</v>
      </c>
      <c r="S27" s="38">
        <f>Q27/'Indicator Data'!AN29</f>
        <v>0</v>
      </c>
      <c r="T27" s="13">
        <f t="shared" si="6"/>
        <v>0</v>
      </c>
      <c r="U27" s="14">
        <f t="shared" si="7"/>
        <v>0</v>
      </c>
      <c r="V27" s="33">
        <f>IF('Indicator Data'!Z29="",VLOOKUP($B27,'Indicator Data (national)'!$B$5:$AA$14,26,FALSE),'Indicator Data'!Z29)</f>
        <v>10000</v>
      </c>
      <c r="W27" s="13">
        <f t="shared" si="8"/>
        <v>3.3333333333333339</v>
      </c>
      <c r="X27" s="38">
        <f>IF('Indicator Data'!Z29="",V27/VLOOKUP($B27,'Indicator Data (national)'!$B$5:$AM$14,38,FALSE),V27/'Indicator Data'!AN29)</f>
        <v>1.5789968159529207E-3</v>
      </c>
      <c r="Y27" s="13">
        <f t="shared" si="9"/>
        <v>3.5702583527884952</v>
      </c>
      <c r="Z27" s="14">
        <f t="shared" si="10"/>
        <v>3.4517958430609146</v>
      </c>
      <c r="AA27" s="149">
        <f t="shared" si="11"/>
        <v>1.7258979215304573</v>
      </c>
      <c r="AB27" s="33">
        <f>VLOOKUP($B27,'Indicator Data (national)'!$B$5:$Z$14,25,FALSE)+VLOOKUP($B27,'Indicator Data (national)'!$B$5:$Z$14,24,FALSE)*0.5+VLOOKUP($B27,'Indicator Data (national)'!$B$5:$Z$14,23,FALSE)*0.25</f>
        <v>0</v>
      </c>
      <c r="AC27" s="39">
        <f>AB27/VLOOKUP($B27,'Indicator Data (national)'!$B$5:$AM$14,38,FALSE)</f>
        <v>0</v>
      </c>
      <c r="AD27" s="49">
        <f t="shared" si="12"/>
        <v>0</v>
      </c>
      <c r="AE27" s="13" t="str">
        <f>IF('Indicator Data'!V29="No data","x",IF(('Indicator Data'!V29)&gt;AE$150,10,IF(('Indicator Data'!V29)&lt;AE$149,0,10-(AE$150-('Indicator Data'!V29))/(AE$150-AE$149)*10)))</f>
        <v>x</v>
      </c>
      <c r="AF27" s="49" t="str">
        <f t="shared" si="13"/>
        <v>x</v>
      </c>
      <c r="AG27" s="34">
        <f t="shared" si="14"/>
        <v>0</v>
      </c>
      <c r="AH27" s="52">
        <f t="shared" si="1"/>
        <v>1.8859551244442447</v>
      </c>
    </row>
    <row r="28" spans="1:34" s="11" customFormat="1" x14ac:dyDescent="0.25">
      <c r="A28" s="16" t="s">
        <v>379</v>
      </c>
      <c r="B28" s="11" t="s">
        <v>574</v>
      </c>
      <c r="C28" s="16" t="s">
        <v>380</v>
      </c>
      <c r="D28" s="13">
        <f>IF('Indicator Data'!I30="No data","x",IF('Indicator Data'!I30&gt;D$150,0,IF('Indicator Data'!I30&lt;D$149,10,(D$150-'Indicator Data'!I30)/(D$150-D$149)*10)))</f>
        <v>8.7545993582885924</v>
      </c>
      <c r="E28" s="13" t="str">
        <f>IF('Indicator Data'!J30="No data","x",IF('Indicator Data'!J30&gt;E$150,10,IF('Indicator Data'!J30&lt;E$149,0,10-(E$150-'Indicator Data'!J30)/(E$150-E$149)*10)))</f>
        <v>x</v>
      </c>
      <c r="F28" s="144">
        <f>IF(OR('Indicator Data'!AG30=0,'Indicator Data'!AG30="No data"),"x",IF('Indicator Data'!AG30&gt;F$150,0,IF('Indicator Data'!AG30&lt;F$149,10,(F$150-'Indicator Data'!AG30)/(F$150-F$149)*10)))</f>
        <v>3.9799999999999995</v>
      </c>
      <c r="G28" s="144">
        <f>IF(OR('Indicator Data'!AE30=0,'Indicator Data'!AE30="No data"),"x",IF('Indicator Data'!AE30&gt;G$150,0,IF('Indicator Data'!AE30&lt;G$149,10,(G$150-'Indicator Data'!AE30)/(G$150-G$149)*10)))</f>
        <v>6.75</v>
      </c>
      <c r="H28" s="144">
        <f>IF(OR('Indicator Data'!AF30=0,'Indicator Data'!AF30="No data"),"x",IF('Indicator Data'!AF30&gt;H$150,0,IF('Indicator Data'!AF30&lt;H$149,10,(H$150-'Indicator Data'!AF30)/(H$150-H$149)*10)))</f>
        <v>8.68</v>
      </c>
      <c r="I28" s="144">
        <f t="shared" si="0"/>
        <v>6.47</v>
      </c>
      <c r="J28" s="49">
        <f t="shared" si="2"/>
        <v>7.804022832959391</v>
      </c>
      <c r="K28" s="13" t="str">
        <f>IF('Indicator Data'!K30="No data","x",IF('Indicator Data'!K30&gt;K$150,10,IF('Indicator Data'!K30&lt;K$149,0,10-(K$150-'Indicator Data'!K30)/(K$150-K$149)*10)))</f>
        <v>x</v>
      </c>
      <c r="L28" s="13" t="str">
        <f>IF('Indicator Data'!L30="No data","x",IF('Indicator Data'!L30&gt;L$150,10,IF('Indicator Data'!L30&lt;L$149,0,10-(L$150-'Indicator Data'!L30)/(L$150-L$149)*10)))</f>
        <v>x</v>
      </c>
      <c r="M28" s="13" t="str">
        <f>IF('Indicator Data'!M30="No data","x",IF('Indicator Data'!M30&gt;M$150,10,IF('Indicator Data'!M30&lt;M$149,0,10-(M$150-'Indicator Data'!M30)/(M$150-M$149)*10)))</f>
        <v>x</v>
      </c>
      <c r="N28" s="150" t="s">
        <v>744</v>
      </c>
      <c r="O28" s="49" t="str">
        <f t="shared" si="3"/>
        <v>x</v>
      </c>
      <c r="P28" s="42">
        <f t="shared" si="4"/>
        <v>7.804022832959391</v>
      </c>
      <c r="Q28" s="33">
        <f>'Indicator Data'!AA30</f>
        <v>0</v>
      </c>
      <c r="R28" s="13">
        <f t="shared" si="5"/>
        <v>0</v>
      </c>
      <c r="S28" s="38">
        <f>Q28/'Indicator Data'!AN30</f>
        <v>0</v>
      </c>
      <c r="T28" s="13">
        <f t="shared" si="6"/>
        <v>0</v>
      </c>
      <c r="U28" s="14">
        <f t="shared" si="7"/>
        <v>0</v>
      </c>
      <c r="V28" s="33">
        <f>IF('Indicator Data'!Z30="",VLOOKUP($B28,'Indicator Data (national)'!$B$5:$AA$14,26,FALSE),'Indicator Data'!Z30)</f>
        <v>10000</v>
      </c>
      <c r="W28" s="13">
        <f t="shared" si="8"/>
        <v>3.3333333333333339</v>
      </c>
      <c r="X28" s="38">
        <f>IF('Indicator Data'!Z30="",V28/VLOOKUP($B28,'Indicator Data (national)'!$B$5:$AM$14,38,FALSE),V28/'Indicator Data'!AN30)</f>
        <v>1.5789968159529207E-3</v>
      </c>
      <c r="Y28" s="13">
        <f t="shared" si="9"/>
        <v>3.5702583527884952</v>
      </c>
      <c r="Z28" s="14">
        <f t="shared" si="10"/>
        <v>3.4517958430609146</v>
      </c>
      <c r="AA28" s="149">
        <f t="shared" si="11"/>
        <v>1.7258979215304573</v>
      </c>
      <c r="AB28" s="33">
        <f>VLOOKUP($B28,'Indicator Data (national)'!$B$5:$Z$14,25,FALSE)+VLOOKUP($B28,'Indicator Data (national)'!$B$5:$Z$14,24,FALSE)*0.5+VLOOKUP($B28,'Indicator Data (national)'!$B$5:$Z$14,23,FALSE)*0.25</f>
        <v>0</v>
      </c>
      <c r="AC28" s="39">
        <f>AB28/VLOOKUP($B28,'Indicator Data (national)'!$B$5:$AM$14,38,FALSE)</f>
        <v>0</v>
      </c>
      <c r="AD28" s="49">
        <f t="shared" si="12"/>
        <v>0</v>
      </c>
      <c r="AE28" s="13" t="str">
        <f>IF('Indicator Data'!V30="No data","x",IF(('Indicator Data'!V30)&gt;AE$150,10,IF(('Indicator Data'!V30)&lt;AE$149,0,10-(AE$150-('Indicator Data'!V30))/(AE$150-AE$149)*10)))</f>
        <v>x</v>
      </c>
      <c r="AF28" s="49" t="str">
        <f t="shared" si="13"/>
        <v>x</v>
      </c>
      <c r="AG28" s="34">
        <f t="shared" si="14"/>
        <v>0</v>
      </c>
      <c r="AH28" s="52">
        <f t="shared" si="1"/>
        <v>1.8859551244442447</v>
      </c>
    </row>
    <row r="29" spans="1:34" s="11" customFormat="1" x14ac:dyDescent="0.25">
      <c r="A29" s="16" t="s">
        <v>381</v>
      </c>
      <c r="B29" s="11" t="s">
        <v>574</v>
      </c>
      <c r="C29" s="16" t="s">
        <v>382</v>
      </c>
      <c r="D29" s="13">
        <f>IF('Indicator Data'!I31="No data","x",IF('Indicator Data'!I31&gt;D$150,0,IF('Indicator Data'!I31&lt;D$149,10,(D$150-'Indicator Data'!I31)/(D$150-D$149)*10)))</f>
        <v>8.7545993582885924</v>
      </c>
      <c r="E29" s="13" t="str">
        <f>IF('Indicator Data'!J31="No data","x",IF('Indicator Data'!J31&gt;E$150,10,IF('Indicator Data'!J31&lt;E$149,0,10-(E$150-'Indicator Data'!J31)/(E$150-E$149)*10)))</f>
        <v>x</v>
      </c>
      <c r="F29" s="144">
        <f>IF(OR('Indicator Data'!AG31=0,'Indicator Data'!AG31="No data"),"x",IF('Indicator Data'!AG31&gt;F$150,0,IF('Indicator Data'!AG31&lt;F$149,10,(F$150-'Indicator Data'!AG31)/(F$150-F$149)*10)))</f>
        <v>3.9799999999999995</v>
      </c>
      <c r="G29" s="144">
        <f>IF(OR('Indicator Data'!AE31=0,'Indicator Data'!AE31="No data"),"x",IF('Indicator Data'!AE31&gt;G$150,0,IF('Indicator Data'!AE31&lt;G$149,10,(G$150-'Indicator Data'!AE31)/(G$150-G$149)*10)))</f>
        <v>6.75</v>
      </c>
      <c r="H29" s="144">
        <f>IF(OR('Indicator Data'!AF31=0,'Indicator Data'!AF31="No data"),"x",IF('Indicator Data'!AF31&gt;H$150,0,IF('Indicator Data'!AF31&lt;H$149,10,(H$150-'Indicator Data'!AF31)/(H$150-H$149)*10)))</f>
        <v>8.68</v>
      </c>
      <c r="I29" s="144">
        <f t="shared" si="0"/>
        <v>6.47</v>
      </c>
      <c r="J29" s="49">
        <f t="shared" si="2"/>
        <v>7.804022832959391</v>
      </c>
      <c r="K29" s="13" t="str">
        <f>IF('Indicator Data'!K31="No data","x",IF('Indicator Data'!K31&gt;K$150,10,IF('Indicator Data'!K31&lt;K$149,0,10-(K$150-'Indicator Data'!K31)/(K$150-K$149)*10)))</f>
        <v>x</v>
      </c>
      <c r="L29" s="13" t="str">
        <f>IF('Indicator Data'!L31="No data","x",IF('Indicator Data'!L31&gt;L$150,10,IF('Indicator Data'!L31&lt;L$149,0,10-(L$150-'Indicator Data'!L31)/(L$150-L$149)*10)))</f>
        <v>x</v>
      </c>
      <c r="M29" s="13" t="str">
        <f>IF('Indicator Data'!M31="No data","x",IF('Indicator Data'!M31&gt;M$150,10,IF('Indicator Data'!M31&lt;M$149,0,10-(M$150-'Indicator Data'!M31)/(M$150-M$149)*10)))</f>
        <v>x</v>
      </c>
      <c r="N29" s="150" t="s">
        <v>744</v>
      </c>
      <c r="O29" s="49" t="str">
        <f t="shared" si="3"/>
        <v>x</v>
      </c>
      <c r="P29" s="42">
        <f t="shared" si="4"/>
        <v>7.804022832959391</v>
      </c>
      <c r="Q29" s="33">
        <f>'Indicator Data'!AA31</f>
        <v>0</v>
      </c>
      <c r="R29" s="13">
        <f t="shared" si="5"/>
        <v>0</v>
      </c>
      <c r="S29" s="38">
        <f>Q29/'Indicator Data'!AN31</f>
        <v>0</v>
      </c>
      <c r="T29" s="13">
        <f t="shared" si="6"/>
        <v>0</v>
      </c>
      <c r="U29" s="14">
        <f t="shared" si="7"/>
        <v>0</v>
      </c>
      <c r="V29" s="33">
        <f>IF('Indicator Data'!Z31="",VLOOKUP($B29,'Indicator Data (national)'!$B$5:$AA$14,26,FALSE),'Indicator Data'!Z31)</f>
        <v>10000</v>
      </c>
      <c r="W29" s="13">
        <f t="shared" si="8"/>
        <v>3.3333333333333339</v>
      </c>
      <c r="X29" s="38">
        <f>IF('Indicator Data'!Z31="",V29/VLOOKUP($B29,'Indicator Data (national)'!$B$5:$AM$14,38,FALSE),V29/'Indicator Data'!AN31)</f>
        <v>1.5789968159529207E-3</v>
      </c>
      <c r="Y29" s="13">
        <f t="shared" si="9"/>
        <v>3.5702583527884952</v>
      </c>
      <c r="Z29" s="14">
        <f t="shared" si="10"/>
        <v>3.4517958430609146</v>
      </c>
      <c r="AA29" s="149">
        <f t="shared" si="11"/>
        <v>1.7258979215304573</v>
      </c>
      <c r="AB29" s="33">
        <f>VLOOKUP($B29,'Indicator Data (national)'!$B$5:$Z$14,25,FALSE)+VLOOKUP($B29,'Indicator Data (national)'!$B$5:$Z$14,24,FALSE)*0.5+VLOOKUP($B29,'Indicator Data (national)'!$B$5:$Z$14,23,FALSE)*0.25</f>
        <v>0</v>
      </c>
      <c r="AC29" s="39">
        <f>AB29/VLOOKUP($B29,'Indicator Data (national)'!$B$5:$AM$14,38,FALSE)</f>
        <v>0</v>
      </c>
      <c r="AD29" s="49">
        <f t="shared" si="12"/>
        <v>0</v>
      </c>
      <c r="AE29" s="13" t="str">
        <f>IF('Indicator Data'!V31="No data","x",IF(('Indicator Data'!V31)&gt;AE$150,10,IF(('Indicator Data'!V31)&lt;AE$149,0,10-(AE$150-('Indicator Data'!V31))/(AE$150-AE$149)*10)))</f>
        <v>x</v>
      </c>
      <c r="AF29" s="49" t="str">
        <f t="shared" si="13"/>
        <v>x</v>
      </c>
      <c r="AG29" s="34">
        <f t="shared" si="14"/>
        <v>0</v>
      </c>
      <c r="AH29" s="52">
        <f t="shared" si="1"/>
        <v>1.8859551244442447</v>
      </c>
    </row>
    <row r="30" spans="1:34" s="11" customFormat="1" x14ac:dyDescent="0.25">
      <c r="A30" s="16" t="s">
        <v>383</v>
      </c>
      <c r="B30" s="11" t="s">
        <v>574</v>
      </c>
      <c r="C30" s="16" t="s">
        <v>384</v>
      </c>
      <c r="D30" s="13">
        <f>IF('Indicator Data'!I32="No data","x",IF('Indicator Data'!I32&gt;D$150,0,IF('Indicator Data'!I32&lt;D$149,10,(D$150-'Indicator Data'!I32)/(D$150-D$149)*10)))</f>
        <v>8.7545993582885924</v>
      </c>
      <c r="E30" s="13" t="str">
        <f>IF('Indicator Data'!J32="No data","x",IF('Indicator Data'!J32&gt;E$150,10,IF('Indicator Data'!J32&lt;E$149,0,10-(E$150-'Indicator Data'!J32)/(E$150-E$149)*10)))</f>
        <v>x</v>
      </c>
      <c r="F30" s="144">
        <f>IF(OR('Indicator Data'!AG32=0,'Indicator Data'!AG32="No data"),"x",IF('Indicator Data'!AG32&gt;F$150,0,IF('Indicator Data'!AG32&lt;F$149,10,(F$150-'Indicator Data'!AG32)/(F$150-F$149)*10)))</f>
        <v>3.9799999999999995</v>
      </c>
      <c r="G30" s="144">
        <f>IF(OR('Indicator Data'!AE32=0,'Indicator Data'!AE32="No data"),"x",IF('Indicator Data'!AE32&gt;G$150,0,IF('Indicator Data'!AE32&lt;G$149,10,(G$150-'Indicator Data'!AE32)/(G$150-G$149)*10)))</f>
        <v>6.75</v>
      </c>
      <c r="H30" s="144">
        <f>IF(OR('Indicator Data'!AF32=0,'Indicator Data'!AF32="No data"),"x",IF('Indicator Data'!AF32&gt;H$150,0,IF('Indicator Data'!AF32&lt;H$149,10,(H$150-'Indicator Data'!AF32)/(H$150-H$149)*10)))</f>
        <v>8.68</v>
      </c>
      <c r="I30" s="144">
        <f t="shared" si="0"/>
        <v>6.47</v>
      </c>
      <c r="J30" s="49">
        <f t="shared" si="2"/>
        <v>7.804022832959391</v>
      </c>
      <c r="K30" s="13" t="str">
        <f>IF('Indicator Data'!K32="No data","x",IF('Indicator Data'!K32&gt;K$150,10,IF('Indicator Data'!K32&lt;K$149,0,10-(K$150-'Indicator Data'!K32)/(K$150-K$149)*10)))</f>
        <v>x</v>
      </c>
      <c r="L30" s="13" t="str">
        <f>IF('Indicator Data'!L32="No data","x",IF('Indicator Data'!L32&gt;L$150,10,IF('Indicator Data'!L32&lt;L$149,0,10-(L$150-'Indicator Data'!L32)/(L$150-L$149)*10)))</f>
        <v>x</v>
      </c>
      <c r="M30" s="13" t="str">
        <f>IF('Indicator Data'!M32="No data","x",IF('Indicator Data'!M32&gt;M$150,10,IF('Indicator Data'!M32&lt;M$149,0,10-(M$150-'Indicator Data'!M32)/(M$150-M$149)*10)))</f>
        <v>x</v>
      </c>
      <c r="N30" s="150" t="s">
        <v>744</v>
      </c>
      <c r="O30" s="49" t="str">
        <f t="shared" si="3"/>
        <v>x</v>
      </c>
      <c r="P30" s="42">
        <f t="shared" si="4"/>
        <v>7.804022832959391</v>
      </c>
      <c r="Q30" s="33">
        <f>'Indicator Data'!AA32</f>
        <v>0</v>
      </c>
      <c r="R30" s="13">
        <f t="shared" si="5"/>
        <v>0</v>
      </c>
      <c r="S30" s="38">
        <f>Q30/'Indicator Data'!AN32</f>
        <v>0</v>
      </c>
      <c r="T30" s="13">
        <f t="shared" si="6"/>
        <v>0</v>
      </c>
      <c r="U30" s="14">
        <f t="shared" si="7"/>
        <v>0</v>
      </c>
      <c r="V30" s="33">
        <f>IF('Indicator Data'!Z32="",VLOOKUP($B30,'Indicator Data (national)'!$B$5:$AA$14,26,FALSE),'Indicator Data'!Z32)</f>
        <v>10000</v>
      </c>
      <c r="W30" s="13">
        <f t="shared" si="8"/>
        <v>3.3333333333333339</v>
      </c>
      <c r="X30" s="38">
        <f>IF('Indicator Data'!Z32="",V30/VLOOKUP($B30,'Indicator Data (national)'!$B$5:$AM$14,38,FALSE),V30/'Indicator Data'!AN32)</f>
        <v>1.5789968159529207E-3</v>
      </c>
      <c r="Y30" s="13">
        <f t="shared" si="9"/>
        <v>3.5702583527884952</v>
      </c>
      <c r="Z30" s="14">
        <f t="shared" si="10"/>
        <v>3.4517958430609146</v>
      </c>
      <c r="AA30" s="149">
        <f t="shared" si="11"/>
        <v>1.7258979215304573</v>
      </c>
      <c r="AB30" s="33">
        <f>VLOOKUP($B30,'Indicator Data (national)'!$B$5:$Z$14,25,FALSE)+VLOOKUP($B30,'Indicator Data (national)'!$B$5:$Z$14,24,FALSE)*0.5+VLOOKUP($B30,'Indicator Data (national)'!$B$5:$Z$14,23,FALSE)*0.25</f>
        <v>0</v>
      </c>
      <c r="AC30" s="39">
        <f>AB30/VLOOKUP($B30,'Indicator Data (national)'!$B$5:$AM$14,38,FALSE)</f>
        <v>0</v>
      </c>
      <c r="AD30" s="49">
        <f t="shared" si="12"/>
        <v>0</v>
      </c>
      <c r="AE30" s="13" t="str">
        <f>IF('Indicator Data'!V32="No data","x",IF(('Indicator Data'!V32)&gt;AE$150,10,IF(('Indicator Data'!V32)&lt;AE$149,0,10-(AE$150-('Indicator Data'!V32))/(AE$150-AE$149)*10)))</f>
        <v>x</v>
      </c>
      <c r="AF30" s="49" t="str">
        <f t="shared" si="13"/>
        <v>x</v>
      </c>
      <c r="AG30" s="34">
        <f t="shared" si="14"/>
        <v>0</v>
      </c>
      <c r="AH30" s="52">
        <f t="shared" si="1"/>
        <v>1.8859551244442447</v>
      </c>
    </row>
    <row r="31" spans="1:34" s="11" customFormat="1" x14ac:dyDescent="0.25">
      <c r="A31" s="16" t="s">
        <v>386</v>
      </c>
      <c r="B31" s="11" t="s">
        <v>575</v>
      </c>
      <c r="C31" s="16" t="s">
        <v>387</v>
      </c>
      <c r="D31" s="13">
        <f>IF('Indicator Data'!I33="No data","x",IF('Indicator Data'!I33&gt;D$150,0,IF('Indicator Data'!I33&lt;D$149,10,(D$150-'Indicator Data'!I33)/(D$150-D$149)*10)))</f>
        <v>7.9209315483971832</v>
      </c>
      <c r="E31" s="13">
        <f>IF('Indicator Data'!J33="No data","x",IF('Indicator Data'!J33&gt;E$150,10,IF('Indicator Data'!J33&lt;E$149,0,10-(E$150-'Indicator Data'!J33)/(E$150-E$149)*10)))</f>
        <v>1.414673333333333</v>
      </c>
      <c r="F31" s="144">
        <f>IF(OR('Indicator Data'!AG33=0,'Indicator Data'!AG33="No data"),"x",IF('Indicator Data'!AG33&gt;F$150,0,IF('Indicator Data'!AG33&lt;F$149,10,(F$150-'Indicator Data'!AG33)/(F$150-F$149)*10)))</f>
        <v>0.57000000000000028</v>
      </c>
      <c r="G31" s="144">
        <f>IF(OR('Indicator Data'!AE33=0,'Indicator Data'!AE33="No data"),"x",IF('Indicator Data'!AE33&gt;G$150,0,IF('Indicator Data'!AE33&lt;G$149,10,(G$150-'Indicator Data'!AE33)/(G$150-G$149)*10)))</f>
        <v>0.14000000000000057</v>
      </c>
      <c r="H31" s="144">
        <f>IF(OR('Indicator Data'!AF33=0,'Indicator Data'!AF33="No data"),"x",IF('Indicator Data'!AF33&gt;H$150,0,IF('Indicator Data'!AF33&lt;H$149,10,(H$150-'Indicator Data'!AF33)/(H$150-H$149)*10)))</f>
        <v>7.5</v>
      </c>
      <c r="I31" s="144">
        <f t="shared" si="0"/>
        <v>2.7366666666666668</v>
      </c>
      <c r="J31" s="49">
        <f t="shared" si="2"/>
        <v>5.5493328316582238</v>
      </c>
      <c r="K31" s="13">
        <f>IF('Indicator Data'!K33="No data","x",IF('Indicator Data'!K33&gt;K$150,10,IF('Indicator Data'!K33&lt;K$149,0,10-(K$150-'Indicator Data'!K33)/(K$150-K$149)*10)))</f>
        <v>0.2666666666666675</v>
      </c>
      <c r="L31" s="13">
        <f>IF('Indicator Data'!L33="No data","x",IF('Indicator Data'!L33&gt;L$150,10,IF('Indicator Data'!L33&lt;L$149,0,10-(L$150-'Indicator Data'!L33)/(L$150-L$149)*10)))</f>
        <v>2.1500000000000004</v>
      </c>
      <c r="M31" s="13">
        <f>IF('Indicator Data'!M33="No data","x",IF('Indicator Data'!M33&gt;M$150,10,IF('Indicator Data'!M33&lt;M$149,0,10-(M$150-'Indicator Data'!M33)/(M$150-M$149)*10)))</f>
        <v>1.0756146666666666</v>
      </c>
      <c r="N31" s="144"/>
      <c r="O31" s="49">
        <f t="shared" si="3"/>
        <v>1.1640937777777782</v>
      </c>
      <c r="P31" s="42">
        <f t="shared" si="4"/>
        <v>4.0875864803647417</v>
      </c>
      <c r="Q31" s="33">
        <f>'Indicator Data'!AA33</f>
        <v>6033</v>
      </c>
      <c r="R31" s="13">
        <f t="shared" si="5"/>
        <v>2.60177775105468</v>
      </c>
      <c r="S31" s="38">
        <f>Q31/'Indicator Data'!AN33</f>
        <v>1.6370107147818838E-3</v>
      </c>
      <c r="T31" s="13">
        <f t="shared" si="6"/>
        <v>3.602172873921845</v>
      </c>
      <c r="U31" s="14">
        <f t="shared" si="7"/>
        <v>3.1019753124882623</v>
      </c>
      <c r="V31" s="33">
        <f>IF('Indicator Data'!Z33="",VLOOKUP($B31,'Indicator Data (national)'!$B$5:$AA$14,26,FALSE),'Indicator Data'!Z33)</f>
        <v>0</v>
      </c>
      <c r="W31" s="13">
        <f t="shared" si="8"/>
        <v>0</v>
      </c>
      <c r="X31" s="38">
        <f>IF('Indicator Data'!Z33="",V31/VLOOKUP($B31,'Indicator Data (national)'!$B$5:$AM$14,38,FALSE),V31/'Indicator Data'!AN33)</f>
        <v>0</v>
      </c>
      <c r="Y31" s="13">
        <f t="shared" si="9"/>
        <v>0</v>
      </c>
      <c r="Z31" s="14">
        <f t="shared" si="10"/>
        <v>0</v>
      </c>
      <c r="AA31" s="149">
        <f t="shared" si="11"/>
        <v>1.5509876562441312</v>
      </c>
      <c r="AB31" s="33">
        <f>VLOOKUP($B31,'Indicator Data (national)'!$B$5:$Z$14,25,FALSE)+VLOOKUP($B31,'Indicator Data (national)'!$B$5:$Z$14,24,FALSE)*0.5+VLOOKUP($B31,'Indicator Data (national)'!$B$5:$Z$14,23,FALSE)*0.25</f>
        <v>1454669.75</v>
      </c>
      <c r="AC31" s="39">
        <f>AB31/VLOOKUP($B31,'Indicator Data (national)'!$B$5:$AM$14,38,FALSE)</f>
        <v>1.5458640417299092E-2</v>
      </c>
      <c r="AD31" s="49">
        <f t="shared" si="12"/>
        <v>1.5458640417299101</v>
      </c>
      <c r="AE31" s="13">
        <f>IF('Indicator Data'!V33="No data","x",IF(('Indicator Data'!V33)&gt;AE$150,10,IF(('Indicator Data'!V33)&lt;AE$149,0,10-(AE$150-('Indicator Data'!V33))/(AE$150-AE$149)*10)))</f>
        <v>0</v>
      </c>
      <c r="AF31" s="49">
        <f t="shared" si="13"/>
        <v>0</v>
      </c>
      <c r="AG31" s="34">
        <f t="shared" si="14"/>
        <v>0.80186657074228329</v>
      </c>
      <c r="AH31" s="52">
        <f t="shared" si="1"/>
        <v>0.40844034351045544</v>
      </c>
    </row>
    <row r="32" spans="1:34" s="11" customFormat="1" x14ac:dyDescent="0.25">
      <c r="A32" s="16" t="s">
        <v>388</v>
      </c>
      <c r="B32" s="11" t="s">
        <v>575</v>
      </c>
      <c r="C32" s="16" t="s">
        <v>389</v>
      </c>
      <c r="D32" s="13">
        <f>IF('Indicator Data'!I34="No data","x",IF('Indicator Data'!I34&gt;D$150,0,IF('Indicator Data'!I34&lt;D$149,10,(D$150-'Indicator Data'!I34)/(D$150-D$149)*10)))</f>
        <v>7.9209315483971832</v>
      </c>
      <c r="E32" s="13">
        <f>IF('Indicator Data'!J34="No data","x",IF('Indicator Data'!J34&gt;E$150,10,IF('Indicator Data'!J34&lt;E$149,0,10-(E$150-'Indicator Data'!J34)/(E$150-E$149)*10)))</f>
        <v>10</v>
      </c>
      <c r="F32" s="144">
        <f>IF(OR('Indicator Data'!AG34=0,'Indicator Data'!AG34="No data"),"x",IF('Indicator Data'!AG34&gt;F$150,0,IF('Indicator Data'!AG34&lt;F$149,10,(F$150-'Indicator Data'!AG34)/(F$150-F$149)*10)))</f>
        <v>7.45</v>
      </c>
      <c r="G32" s="144">
        <f>IF(OR('Indicator Data'!AE34=0,'Indicator Data'!AE34="No data"),"x",IF('Indicator Data'!AE34&gt;G$150,0,IF('Indicator Data'!AE34&lt;G$149,10,(G$150-'Indicator Data'!AE34)/(G$150-G$149)*10)))</f>
        <v>7.5</v>
      </c>
      <c r="H32" s="144">
        <f>IF(OR('Indicator Data'!AF34=0,'Indicator Data'!AF34="No data"),"x",IF('Indicator Data'!AF34&gt;H$150,0,IF('Indicator Data'!AF34&lt;H$149,10,(H$150-'Indicator Data'!AF34)/(H$150-H$149)*10)))</f>
        <v>9.3099999999999987</v>
      </c>
      <c r="I32" s="144">
        <f t="shared" si="0"/>
        <v>8.086666666666666</v>
      </c>
      <c r="J32" s="49">
        <f t="shared" si="2"/>
        <v>9.2283886253020562</v>
      </c>
      <c r="K32" s="13">
        <f>IF('Indicator Data'!K34="No data","x",IF('Indicator Data'!K34&gt;K$150,10,IF('Indicator Data'!K34&lt;K$149,0,10-(K$150-'Indicator Data'!K34)/(K$150-K$149)*10)))</f>
        <v>3.8666666666666663</v>
      </c>
      <c r="L32" s="13">
        <f>IF('Indicator Data'!L34="No data","x",IF('Indicator Data'!L34&gt;L$150,10,IF('Indicator Data'!L34&lt;L$149,0,10-(L$150-'Indicator Data'!L34)/(L$150-L$149)*10)))</f>
        <v>2.1500000000000004</v>
      </c>
      <c r="M32" s="13">
        <f>IF('Indicator Data'!M34="No data","x",IF('Indicator Data'!M34&gt;M$150,10,IF('Indicator Data'!M34&lt;M$149,0,10-(M$150-'Indicator Data'!M34)/(M$150-M$149)*10)))</f>
        <v>4.4216106666666661</v>
      </c>
      <c r="N32" s="144"/>
      <c r="O32" s="49">
        <f t="shared" si="3"/>
        <v>3.4794257777777773</v>
      </c>
      <c r="P32" s="42">
        <f t="shared" si="4"/>
        <v>7.3120676761272962</v>
      </c>
      <c r="Q32" s="33">
        <f>'Indicator Data'!AA34</f>
        <v>28565</v>
      </c>
      <c r="R32" s="13">
        <f t="shared" si="5"/>
        <v>4.8527807613218918</v>
      </c>
      <c r="S32" s="38">
        <f>Q32/'Indicator Data'!AN34</f>
        <v>1.5581974331336106E-2</v>
      </c>
      <c r="T32" s="13">
        <f t="shared" si="6"/>
        <v>6.2794099949140652</v>
      </c>
      <c r="U32" s="14">
        <f t="shared" si="7"/>
        <v>5.5660953781179785</v>
      </c>
      <c r="V32" s="33">
        <f>IF('Indicator Data'!Z34="",VLOOKUP($B32,'Indicator Data (national)'!$B$5:$AA$14,26,FALSE),'Indicator Data'!Z34)</f>
        <v>105216</v>
      </c>
      <c r="W32" s="13">
        <f t="shared" si="8"/>
        <v>6.7402726239597284</v>
      </c>
      <c r="X32" s="38">
        <f>IF('Indicator Data'!Z34="",V32/VLOOKUP($B32,'Indicator Data (national)'!$B$5:$AM$14,38,FALSE),V32/'Indicator Data'!AN34)</f>
        <v>5.739446914916365E-2</v>
      </c>
      <c r="Y32" s="13">
        <f t="shared" si="9"/>
        <v>8.6611961716372594</v>
      </c>
      <c r="Z32" s="14">
        <f t="shared" si="10"/>
        <v>7.7007343977984934</v>
      </c>
      <c r="AA32" s="149">
        <f t="shared" si="11"/>
        <v>6.633414887958236</v>
      </c>
      <c r="AB32" s="33">
        <f>VLOOKUP($B32,'Indicator Data (national)'!$B$5:$Z$14,25,FALSE)+VLOOKUP($B32,'Indicator Data (national)'!$B$5:$Z$14,24,FALSE)*0.5+VLOOKUP($B32,'Indicator Data (national)'!$B$5:$Z$14,23,FALSE)*0.25</f>
        <v>1454669.75</v>
      </c>
      <c r="AC32" s="39">
        <f>AB32/VLOOKUP($B32,'Indicator Data (national)'!$B$5:$AM$14,38,FALSE)</f>
        <v>1.5458640417299092E-2</v>
      </c>
      <c r="AD32" s="49">
        <f t="shared" si="12"/>
        <v>1.5458640417299101</v>
      </c>
      <c r="AE32" s="13">
        <f>IF('Indicator Data'!V34="No data","x",IF(('Indicator Data'!V34)&gt;AE$150,10,IF(('Indicator Data'!V34)&lt;AE$149,0,10-(AE$150-('Indicator Data'!V34))/(AE$150-AE$149)*10)))</f>
        <v>1.5644970025510645</v>
      </c>
      <c r="AF32" s="49">
        <f t="shared" si="13"/>
        <v>1.5644970025510645</v>
      </c>
      <c r="AG32" s="34">
        <f t="shared" si="14"/>
        <v>1.5551850636567246</v>
      </c>
      <c r="AH32" s="52">
        <f t="shared" si="1"/>
        <v>5.4024065587300782</v>
      </c>
    </row>
    <row r="33" spans="1:34" s="11" customFormat="1" x14ac:dyDescent="0.25">
      <c r="A33" s="16" t="s">
        <v>390</v>
      </c>
      <c r="B33" s="11" t="s">
        <v>575</v>
      </c>
      <c r="C33" s="16" t="s">
        <v>391</v>
      </c>
      <c r="D33" s="13">
        <f>IF('Indicator Data'!I35="No data","x",IF('Indicator Data'!I35&gt;D$150,0,IF('Indicator Data'!I35&lt;D$149,10,(D$150-'Indicator Data'!I35)/(D$150-D$149)*10)))</f>
        <v>7.9209315483971832</v>
      </c>
      <c r="E33" s="13">
        <f>IF('Indicator Data'!J35="No data","x",IF('Indicator Data'!J35&gt;E$150,10,IF('Indicator Data'!J35&lt;E$149,0,10-(E$150-'Indicator Data'!J35)/(E$150-E$149)*10)))</f>
        <v>9.802008333333335</v>
      </c>
      <c r="F33" s="144">
        <f>IF(OR('Indicator Data'!AG35=0,'Indicator Data'!AG35="No data"),"x",IF('Indicator Data'!AG35&gt;F$150,0,IF('Indicator Data'!AG35&lt;F$149,10,(F$150-'Indicator Data'!AG35)/(F$150-F$149)*10)))</f>
        <v>6.14</v>
      </c>
      <c r="G33" s="144">
        <f>IF(OR('Indicator Data'!AE35=0,'Indicator Data'!AE35="No data"),"x",IF('Indicator Data'!AE35&gt;G$150,0,IF('Indicator Data'!AE35&lt;G$149,10,(G$150-'Indicator Data'!AE35)/(G$150-G$149)*10)))</f>
        <v>8.4499999999999993</v>
      </c>
      <c r="H33" s="144">
        <f>IF(OR('Indicator Data'!AF35=0,'Indicator Data'!AF35="No data"),"x",IF('Indicator Data'!AF35&gt;H$150,0,IF('Indicator Data'!AF35&lt;H$149,10,(H$150-'Indicator Data'!AF35)/(H$150-H$149)*10)))</f>
        <v>8.83</v>
      </c>
      <c r="I33" s="144">
        <f t="shared" si="0"/>
        <v>7.8066666666666675</v>
      </c>
      <c r="J33" s="49">
        <f t="shared" si="2"/>
        <v>9.0675179698134851</v>
      </c>
      <c r="K33" s="13">
        <f>IF('Indicator Data'!K35="No data","x",IF('Indicator Data'!K35&gt;K$150,10,IF('Indicator Data'!K35&lt;K$149,0,10-(K$150-'Indicator Data'!K35)/(K$150-K$149)*10)))</f>
        <v>2.6666666666666661</v>
      </c>
      <c r="L33" s="13">
        <f>IF('Indicator Data'!L35="No data","x",IF('Indicator Data'!L35&gt;L$150,10,IF('Indicator Data'!L35&lt;L$149,0,10-(L$150-'Indicator Data'!L35)/(L$150-L$149)*10)))</f>
        <v>2.1500000000000004</v>
      </c>
      <c r="M33" s="13">
        <f>IF('Indicator Data'!M35="No data","x",IF('Indicator Data'!M35&gt;M$150,10,IF('Indicator Data'!M35&lt;M$149,0,10-(M$150-'Indicator Data'!M35)/(M$150-M$149)*10)))</f>
        <v>3.7504426666666664</v>
      </c>
      <c r="N33" s="144"/>
      <c r="O33" s="49">
        <f t="shared" si="3"/>
        <v>2.8557031111111111</v>
      </c>
      <c r="P33" s="42">
        <f t="shared" si="4"/>
        <v>6.9969130169126936</v>
      </c>
      <c r="Q33" s="33">
        <f>'Indicator Data'!AA35</f>
        <v>0</v>
      </c>
      <c r="R33" s="13">
        <f t="shared" si="5"/>
        <v>0</v>
      </c>
      <c r="S33" s="38">
        <f>Q33/'Indicator Data'!AN35</f>
        <v>0</v>
      </c>
      <c r="T33" s="13">
        <f t="shared" si="6"/>
        <v>0</v>
      </c>
      <c r="U33" s="14">
        <f t="shared" si="7"/>
        <v>0</v>
      </c>
      <c r="V33" s="33">
        <f>IF('Indicator Data'!Z35="",VLOOKUP($B33,'Indicator Data (national)'!$B$5:$AA$14,26,FALSE),'Indicator Data'!Z35)</f>
        <v>0</v>
      </c>
      <c r="W33" s="13">
        <f t="shared" si="8"/>
        <v>0</v>
      </c>
      <c r="X33" s="38">
        <f>IF('Indicator Data'!Z35="",V33/VLOOKUP($B33,'Indicator Data (national)'!$B$5:$AM$14,38,FALSE),V33/'Indicator Data'!AN35)</f>
        <v>0</v>
      </c>
      <c r="Y33" s="13">
        <f t="shared" si="9"/>
        <v>0</v>
      </c>
      <c r="Z33" s="14">
        <f t="shared" si="10"/>
        <v>0</v>
      </c>
      <c r="AA33" s="149">
        <f t="shared" si="11"/>
        <v>0</v>
      </c>
      <c r="AB33" s="33">
        <f>VLOOKUP($B33,'Indicator Data (national)'!$B$5:$Z$14,25,FALSE)+VLOOKUP($B33,'Indicator Data (national)'!$B$5:$Z$14,24,FALSE)*0.5+VLOOKUP($B33,'Indicator Data (national)'!$B$5:$Z$14,23,FALSE)*0.25</f>
        <v>1454669.75</v>
      </c>
      <c r="AC33" s="39">
        <f>AB33/VLOOKUP($B33,'Indicator Data (national)'!$B$5:$AM$14,38,FALSE)</f>
        <v>1.5458640417299092E-2</v>
      </c>
      <c r="AD33" s="49">
        <f t="shared" si="12"/>
        <v>1.5458640417299101</v>
      </c>
      <c r="AE33" s="13">
        <f>IF('Indicator Data'!V35="No data","x",IF(('Indicator Data'!V35)&gt;AE$150,10,IF(('Indicator Data'!V35)&lt;AE$149,0,10-(AE$150-('Indicator Data'!V35))/(AE$150-AE$149)*10)))</f>
        <v>3.6865750898798293</v>
      </c>
      <c r="AF33" s="49">
        <f t="shared" si="13"/>
        <v>3.6865750898798293</v>
      </c>
      <c r="AG33" s="34">
        <f t="shared" si="14"/>
        <v>2.6839216971607103</v>
      </c>
      <c r="AH33" s="52">
        <f t="shared" si="1"/>
        <v>1.4345705137290978</v>
      </c>
    </row>
    <row r="34" spans="1:34" s="11" customFormat="1" x14ac:dyDescent="0.25">
      <c r="A34" s="16" t="s">
        <v>392</v>
      </c>
      <c r="B34" s="11" t="s">
        <v>575</v>
      </c>
      <c r="C34" s="16" t="s">
        <v>393</v>
      </c>
      <c r="D34" s="13">
        <f>IF('Indicator Data'!I36="No data","x",IF('Indicator Data'!I36&gt;D$150,0,IF('Indicator Data'!I36&lt;D$149,10,(D$150-'Indicator Data'!I36)/(D$150-D$149)*10)))</f>
        <v>7.9209315483971832</v>
      </c>
      <c r="E34" s="13">
        <f>IF('Indicator Data'!J36="No data","x",IF('Indicator Data'!J36&gt;E$150,10,IF('Indicator Data'!J36&lt;E$149,0,10-(E$150-'Indicator Data'!J36)/(E$150-E$149)*10)))</f>
        <v>9.7392883333333327</v>
      </c>
      <c r="F34" s="144">
        <f>IF(OR('Indicator Data'!AG36=0,'Indicator Data'!AG36="No data"),"x",IF('Indicator Data'!AG36&gt;F$150,0,IF('Indicator Data'!AG36&lt;F$149,10,(F$150-'Indicator Data'!AG36)/(F$150-F$149)*10)))</f>
        <v>5.3000000000000007</v>
      </c>
      <c r="G34" s="144">
        <f>IF(OR('Indicator Data'!AE36=0,'Indicator Data'!AE36="No data"),"x",IF('Indicator Data'!AE36&gt;G$150,0,IF('Indicator Data'!AE36&lt;G$149,10,(G$150-'Indicator Data'!AE36)/(G$150-G$149)*10)))</f>
        <v>8.7799999999999994</v>
      </c>
      <c r="H34" s="144">
        <f>IF(OR('Indicator Data'!AF36=0,'Indicator Data'!AF36="No data"),"x",IF('Indicator Data'!AF36&gt;H$150,0,IF('Indicator Data'!AF36&lt;H$149,10,(H$150-'Indicator Data'!AF36)/(H$150-H$149)*10)))</f>
        <v>9.36</v>
      </c>
      <c r="I34" s="144">
        <f t="shared" si="0"/>
        <v>7.8133333333333326</v>
      </c>
      <c r="J34" s="49">
        <f t="shared" si="2"/>
        <v>9.0191357313964939</v>
      </c>
      <c r="K34" s="13">
        <f>IF('Indicator Data'!K36="No data","x",IF('Indicator Data'!K36&gt;K$150,10,IF('Indicator Data'!K36&lt;K$149,0,10-(K$150-'Indicator Data'!K36)/(K$150-K$149)*10)))</f>
        <v>2.3999999999999986</v>
      </c>
      <c r="L34" s="13">
        <f>IF('Indicator Data'!L36="No data","x",IF('Indicator Data'!L36&gt;L$150,10,IF('Indicator Data'!L36&lt;L$149,0,10-(L$150-'Indicator Data'!L36)/(L$150-L$149)*10)))</f>
        <v>2.1500000000000004</v>
      </c>
      <c r="M34" s="13">
        <f>IF('Indicator Data'!M36="No data","x",IF('Indicator Data'!M36&gt;M$150,10,IF('Indicator Data'!M36&lt;M$149,0,10-(M$150-'Indicator Data'!M36)/(M$150-M$149)*10)))</f>
        <v>3.3220039999999997</v>
      </c>
      <c r="N34" s="144"/>
      <c r="O34" s="49">
        <f t="shared" si="3"/>
        <v>2.6240013333333327</v>
      </c>
      <c r="P34" s="42">
        <f t="shared" si="4"/>
        <v>6.8874242653754401</v>
      </c>
      <c r="Q34" s="33">
        <f>'Indicator Data'!AA36</f>
        <v>45163</v>
      </c>
      <c r="R34" s="13">
        <f t="shared" si="5"/>
        <v>5.5159426089366965</v>
      </c>
      <c r="S34" s="38">
        <f>Q34/'Indicator Data'!AN36</f>
        <v>4.7983009448285166E-2</v>
      </c>
      <c r="T34" s="13">
        <f t="shared" si="6"/>
        <v>8.2869290512724518</v>
      </c>
      <c r="U34" s="14">
        <f t="shared" si="7"/>
        <v>6.9014358301045746</v>
      </c>
      <c r="V34" s="33">
        <f>IF('Indicator Data'!Z36="",VLOOKUP($B34,'Indicator Data (national)'!$B$5:$AA$14,26,FALSE),'Indicator Data'!Z36)</f>
        <v>0</v>
      </c>
      <c r="W34" s="13">
        <f t="shared" si="8"/>
        <v>0</v>
      </c>
      <c r="X34" s="38">
        <f>IF('Indicator Data'!Z36="",V34/VLOOKUP($B34,'Indicator Data (national)'!$B$5:$AM$14,38,FALSE),V34/'Indicator Data'!AN36)</f>
        <v>0</v>
      </c>
      <c r="Y34" s="13">
        <f t="shared" si="9"/>
        <v>0</v>
      </c>
      <c r="Z34" s="14">
        <f t="shared" si="10"/>
        <v>0</v>
      </c>
      <c r="AA34" s="149">
        <f t="shared" si="11"/>
        <v>3.4507179150522873</v>
      </c>
      <c r="AB34" s="33">
        <f>VLOOKUP($B34,'Indicator Data (national)'!$B$5:$Z$14,25,FALSE)+VLOOKUP($B34,'Indicator Data (national)'!$B$5:$Z$14,24,FALSE)*0.5+VLOOKUP($B34,'Indicator Data (national)'!$B$5:$Z$14,23,FALSE)*0.25</f>
        <v>1454669.75</v>
      </c>
      <c r="AC34" s="39">
        <f>AB34/VLOOKUP($B34,'Indicator Data (national)'!$B$5:$AM$14,38,FALSE)</f>
        <v>1.5458640417299092E-2</v>
      </c>
      <c r="AD34" s="49">
        <f t="shared" si="12"/>
        <v>1.5458640417299101</v>
      </c>
      <c r="AE34" s="13">
        <f>IF('Indicator Data'!V36="No data","x",IF(('Indicator Data'!V36)&gt;AE$150,10,IF(('Indicator Data'!V36)&lt;AE$149,0,10-(AE$150-('Indicator Data'!V36))/(AE$150-AE$149)*10)))</f>
        <v>0</v>
      </c>
      <c r="AF34" s="49">
        <f t="shared" si="13"/>
        <v>0</v>
      </c>
      <c r="AG34" s="34">
        <f t="shared" si="14"/>
        <v>0.80186657074228329</v>
      </c>
      <c r="AH34" s="52">
        <f t="shared" si="1"/>
        <v>0.40844034351045544</v>
      </c>
    </row>
    <row r="35" spans="1:34" s="11" customFormat="1" x14ac:dyDescent="0.25">
      <c r="A35" s="16" t="s">
        <v>394</v>
      </c>
      <c r="B35" s="11" t="s">
        <v>575</v>
      </c>
      <c r="C35" s="16" t="s">
        <v>395</v>
      </c>
      <c r="D35" s="13">
        <f>IF('Indicator Data'!I37="No data","x",IF('Indicator Data'!I37&gt;D$150,0,IF('Indicator Data'!I37&lt;D$149,10,(D$150-'Indicator Data'!I37)/(D$150-D$149)*10)))</f>
        <v>7.9209315483971832</v>
      </c>
      <c r="E35" s="13">
        <f>IF('Indicator Data'!J37="No data","x",IF('Indicator Data'!J37&gt;E$150,10,IF('Indicator Data'!J37&lt;E$149,0,10-(E$150-'Indicator Data'!J37)/(E$150-E$149)*10)))</f>
        <v>5.6306850000000006</v>
      </c>
      <c r="F35" s="144">
        <f>IF(OR('Indicator Data'!AG37=0,'Indicator Data'!AG37="No data"),"x",IF('Indicator Data'!AG37&gt;F$150,0,IF('Indicator Data'!AG37&lt;F$149,10,(F$150-'Indicator Data'!AG37)/(F$150-F$149)*10)))</f>
        <v>3.4200000000000004</v>
      </c>
      <c r="G35" s="144">
        <f>IF(OR('Indicator Data'!AE37=0,'Indicator Data'!AE37="No data"),"x",IF('Indicator Data'!AE37&gt;G$150,0,IF('Indicator Data'!AE37&lt;G$149,10,(G$150-'Indicator Data'!AE37)/(G$150-G$149)*10)))</f>
        <v>3.77</v>
      </c>
      <c r="H35" s="144">
        <f>IF(OR('Indicator Data'!AF37=0,'Indicator Data'!AF37="No data"),"x",IF('Indicator Data'!AF37&gt;H$150,0,IF('Indicator Data'!AF37&lt;H$149,10,(H$150-'Indicator Data'!AF37)/(H$150-H$149)*10)))</f>
        <v>7.3599999999999994</v>
      </c>
      <c r="I35" s="144">
        <f t="shared" ref="I35:I66" si="15">AVERAGE(F35:H35)</f>
        <v>4.8500000000000005</v>
      </c>
      <c r="J35" s="49">
        <f t="shared" si="2"/>
        <v>6.9297783840215255</v>
      </c>
      <c r="K35" s="13">
        <f>IF('Indicator Data'!K37="No data","x",IF('Indicator Data'!K37&gt;K$150,10,IF('Indicator Data'!K37&lt;K$149,0,10-(K$150-'Indicator Data'!K37)/(K$150-K$149)*10)))</f>
        <v>3.0666666666666664</v>
      </c>
      <c r="L35" s="13">
        <f>IF('Indicator Data'!L37="No data","x",IF('Indicator Data'!L37&gt;L$150,10,IF('Indicator Data'!L37&lt;L$149,0,10-(L$150-'Indicator Data'!L37)/(L$150-L$149)*10)))</f>
        <v>2.1500000000000004</v>
      </c>
      <c r="M35" s="13">
        <f>IF('Indicator Data'!M37="No data","x",IF('Indicator Data'!M37&gt;M$150,10,IF('Indicator Data'!M37&lt;M$149,0,10-(M$150-'Indicator Data'!M37)/(M$150-M$149)*10)))</f>
        <v>4.6142666666666665</v>
      </c>
      <c r="N35" s="144"/>
      <c r="O35" s="49">
        <f t="shared" si="3"/>
        <v>3.2769777777777782</v>
      </c>
      <c r="P35" s="42">
        <f t="shared" si="4"/>
        <v>5.7121781819402768</v>
      </c>
      <c r="Q35" s="33">
        <f>'Indicator Data'!AA37</f>
        <v>0</v>
      </c>
      <c r="R35" s="13">
        <f t="shared" si="5"/>
        <v>0</v>
      </c>
      <c r="S35" s="38">
        <f>Q35/'Indicator Data'!AN37</f>
        <v>0</v>
      </c>
      <c r="T35" s="13">
        <f t="shared" si="6"/>
        <v>0</v>
      </c>
      <c r="U35" s="14">
        <f t="shared" si="7"/>
        <v>0</v>
      </c>
      <c r="V35" s="33">
        <f>IF('Indicator Data'!Z37="",VLOOKUP($B35,'Indicator Data (national)'!$B$5:$AA$14,26,FALSE),'Indicator Data'!Z37)</f>
        <v>0</v>
      </c>
      <c r="W35" s="13">
        <f t="shared" si="8"/>
        <v>0</v>
      </c>
      <c r="X35" s="38">
        <f>IF('Indicator Data'!Z37="",V35/VLOOKUP($B35,'Indicator Data (national)'!$B$5:$AM$14,38,FALSE),V35/'Indicator Data'!AN37)</f>
        <v>0</v>
      </c>
      <c r="Y35" s="13">
        <f t="shared" si="9"/>
        <v>0</v>
      </c>
      <c r="Z35" s="14">
        <f t="shared" si="10"/>
        <v>0</v>
      </c>
      <c r="AA35" s="149">
        <f t="shared" si="11"/>
        <v>0</v>
      </c>
      <c r="AB35" s="33">
        <f>VLOOKUP($B35,'Indicator Data (national)'!$B$5:$Z$14,25,FALSE)+VLOOKUP($B35,'Indicator Data (national)'!$B$5:$Z$14,24,FALSE)*0.5+VLOOKUP($B35,'Indicator Data (national)'!$B$5:$Z$14,23,FALSE)*0.25</f>
        <v>1454669.75</v>
      </c>
      <c r="AC35" s="39">
        <f>AB35/VLOOKUP($B35,'Indicator Data (national)'!$B$5:$AM$14,38,FALSE)</f>
        <v>1.5458640417299092E-2</v>
      </c>
      <c r="AD35" s="49">
        <f t="shared" si="12"/>
        <v>1.5458640417299101</v>
      </c>
      <c r="AE35" s="13">
        <f>IF('Indicator Data'!V37="No data","x",IF(('Indicator Data'!V37)&gt;AE$150,10,IF(('Indicator Data'!V37)&lt;AE$149,0,10-(AE$150-('Indicator Data'!V37))/(AE$150-AE$149)*10)))</f>
        <v>0</v>
      </c>
      <c r="AF35" s="49">
        <f t="shared" si="13"/>
        <v>0</v>
      </c>
      <c r="AG35" s="34">
        <f t="shared" si="14"/>
        <v>0.80186657074228329</v>
      </c>
      <c r="AH35" s="52">
        <f t="shared" ref="AH35:AH66" si="16">(10-GEOMEAN(((10-Z35)/10*9+1),((10-AG35)/10*9+1)))/9*10</f>
        <v>0.40844034351045544</v>
      </c>
    </row>
    <row r="36" spans="1:34" s="11" customFormat="1" x14ac:dyDescent="0.25">
      <c r="A36" s="16" t="s">
        <v>396</v>
      </c>
      <c r="B36" s="11" t="s">
        <v>575</v>
      </c>
      <c r="C36" s="16" t="s">
        <v>397</v>
      </c>
      <c r="D36" s="13">
        <f>IF('Indicator Data'!I38="No data","x",IF('Indicator Data'!I38&gt;D$150,0,IF('Indicator Data'!I38&lt;D$149,10,(D$150-'Indicator Data'!I38)/(D$150-D$149)*10)))</f>
        <v>7.9209315483971832</v>
      </c>
      <c r="E36" s="13">
        <f>IF('Indicator Data'!J38="No data","x",IF('Indicator Data'!J38&gt;E$150,10,IF('Indicator Data'!J38&lt;E$149,0,10-(E$150-'Indicator Data'!J38)/(E$150-E$149)*10)))</f>
        <v>7.9060000000000006</v>
      </c>
      <c r="F36" s="144">
        <f>IF(OR('Indicator Data'!AG38=0,'Indicator Data'!AG38="No data"),"x",IF('Indicator Data'!AG38&gt;F$150,0,IF('Indicator Data'!AG38&lt;F$149,10,(F$150-'Indicator Data'!AG38)/(F$150-F$149)*10)))</f>
        <v>4.9000000000000004</v>
      </c>
      <c r="G36" s="144">
        <f>IF(OR('Indicator Data'!AE38=0,'Indicator Data'!AE38="No data"),"x",IF('Indicator Data'!AE38&gt;G$150,0,IF('Indicator Data'!AE38&lt;G$149,10,(G$150-'Indicator Data'!AE38)/(G$150-G$149)*10)))</f>
        <v>7.9099999999999993</v>
      </c>
      <c r="H36" s="144">
        <f>IF(OR('Indicator Data'!AF38=0,'Indicator Data'!AF38="No data"),"x",IF('Indicator Data'!AF38&gt;H$150,0,IF('Indicator Data'!AF38&lt;H$149,10,(H$150-'Indicator Data'!AF38)/(H$150-H$149)*10)))</f>
        <v>8.67</v>
      </c>
      <c r="I36" s="144">
        <f t="shared" si="15"/>
        <v>7.1599999999999993</v>
      </c>
      <c r="J36" s="49">
        <f t="shared" si="2"/>
        <v>7.9134744896523816</v>
      </c>
      <c r="K36" s="13">
        <f>IF('Indicator Data'!K38="No data","x",IF('Indicator Data'!K38&gt;K$150,10,IF('Indicator Data'!K38&lt;K$149,0,10-(K$150-'Indicator Data'!K38)/(K$150-K$149)*10)))</f>
        <v>3.8666666666666663</v>
      </c>
      <c r="L36" s="13">
        <f>IF('Indicator Data'!L38="No data","x",IF('Indicator Data'!L38&gt;L$150,10,IF('Indicator Data'!L38&lt;L$149,0,10-(L$150-'Indicator Data'!L38)/(L$150-L$149)*10)))</f>
        <v>2.1500000000000004</v>
      </c>
      <c r="M36" s="13">
        <f>IF('Indicator Data'!M38="No data","x",IF('Indicator Data'!M38&gt;M$150,10,IF('Indicator Data'!M38&lt;M$149,0,10-(M$150-'Indicator Data'!M38)/(M$150-M$149)*10)))</f>
        <v>3.0367480000000002</v>
      </c>
      <c r="N36" s="144"/>
      <c r="O36" s="49">
        <f t="shared" si="3"/>
        <v>3.0178048888888891</v>
      </c>
      <c r="P36" s="42">
        <f t="shared" si="4"/>
        <v>6.2815846227312173</v>
      </c>
      <c r="Q36" s="33">
        <f>'Indicator Data'!AA38</f>
        <v>242556</v>
      </c>
      <c r="R36" s="13">
        <f t="shared" si="5"/>
        <v>7.949373406815301</v>
      </c>
      <c r="S36" s="38">
        <f>Q36/'Indicator Data'!AN38</f>
        <v>0.77428869671809308</v>
      </c>
      <c r="T36" s="13">
        <f t="shared" si="6"/>
        <v>10</v>
      </c>
      <c r="U36" s="14">
        <f t="shared" si="7"/>
        <v>8.9746867034076505</v>
      </c>
      <c r="V36" s="33">
        <f>IF('Indicator Data'!Z38="",VLOOKUP($B36,'Indicator Data (national)'!$B$5:$AA$14,26,FALSE),'Indicator Data'!Z38)</f>
        <v>41489</v>
      </c>
      <c r="W36" s="13">
        <f t="shared" si="8"/>
        <v>5.3931098908442516</v>
      </c>
      <c r="X36" s="38">
        <f>IF('Indicator Data'!Z38="",V36/VLOOKUP($B36,'Indicator Data (national)'!$B$5:$AM$14,38,FALSE),V36/'Indicator Data'!AN38)</f>
        <v>0.13244143100206535</v>
      </c>
      <c r="Y36" s="13">
        <f t="shared" si="9"/>
        <v>10</v>
      </c>
      <c r="Z36" s="14">
        <f t="shared" si="10"/>
        <v>7.6965549454221254</v>
      </c>
      <c r="AA36" s="149">
        <f t="shared" si="11"/>
        <v>8.3356208244148888</v>
      </c>
      <c r="AB36" s="33">
        <f>VLOOKUP($B36,'Indicator Data (national)'!$B$5:$Z$14,25,FALSE)+VLOOKUP($B36,'Indicator Data (national)'!$B$5:$Z$14,24,FALSE)*0.5+VLOOKUP($B36,'Indicator Data (national)'!$B$5:$Z$14,23,FALSE)*0.25</f>
        <v>1454669.75</v>
      </c>
      <c r="AC36" s="39">
        <f>AB36/VLOOKUP($B36,'Indicator Data (national)'!$B$5:$AM$14,38,FALSE)</f>
        <v>1.5458640417299092E-2</v>
      </c>
      <c r="AD36" s="49">
        <f t="shared" si="12"/>
        <v>1.5458640417299101</v>
      </c>
      <c r="AE36" s="13">
        <f>IF('Indicator Data'!V38="No data","x",IF(('Indicator Data'!V38)&gt;AE$150,10,IF(('Indicator Data'!V38)&lt;AE$149,0,10-(AE$150-('Indicator Data'!V38))/(AE$150-AE$149)*10)))</f>
        <v>0</v>
      </c>
      <c r="AF36" s="49">
        <f t="shared" si="13"/>
        <v>0</v>
      </c>
      <c r="AG36" s="34">
        <f t="shared" si="14"/>
        <v>0.80186657074228329</v>
      </c>
      <c r="AH36" s="52">
        <f t="shared" si="16"/>
        <v>5.1780263730585796</v>
      </c>
    </row>
    <row r="37" spans="1:34" s="11" customFormat="1" x14ac:dyDescent="0.25">
      <c r="A37" s="16" t="s">
        <v>398</v>
      </c>
      <c r="B37" s="11" t="s">
        <v>575</v>
      </c>
      <c r="C37" s="16" t="s">
        <v>399</v>
      </c>
      <c r="D37" s="13">
        <f>IF('Indicator Data'!I39="No data","x",IF('Indicator Data'!I39&gt;D$150,0,IF('Indicator Data'!I39&lt;D$149,10,(D$150-'Indicator Data'!I39)/(D$150-D$149)*10)))</f>
        <v>7.9209315483971832</v>
      </c>
      <c r="E37" s="13">
        <f>IF('Indicator Data'!J39="No data","x",IF('Indicator Data'!J39&gt;E$150,10,IF('Indicator Data'!J39&lt;E$149,0,10-(E$150-'Indicator Data'!J39)/(E$150-E$149)*10)))</f>
        <v>5.5435700000000008</v>
      </c>
      <c r="F37" s="144">
        <f>IF(OR('Indicator Data'!AG39=0,'Indicator Data'!AG39="No data"),"x",IF('Indicator Data'!AG39&gt;F$150,0,IF('Indicator Data'!AG39&lt;F$149,10,(F$150-'Indicator Data'!AG39)/(F$150-F$149)*10)))</f>
        <v>4.12</v>
      </c>
      <c r="G37" s="144">
        <f>IF(OR('Indicator Data'!AE39=0,'Indicator Data'!AE39="No data"),"x",IF('Indicator Data'!AE39&gt;G$150,0,IF('Indicator Data'!AE39&lt;G$149,10,(G$150-'Indicator Data'!AE39)/(G$150-G$149)*10)))</f>
        <v>2.2299999999999995</v>
      </c>
      <c r="H37" s="144">
        <f>IF(OR('Indicator Data'!AF39=0,'Indicator Data'!AF39="No data"),"x",IF('Indicator Data'!AF39&gt;H$150,0,IF('Indicator Data'!AF39&lt;H$149,10,(H$150-'Indicator Data'!AF39)/(H$150-H$149)*10)))</f>
        <v>8.26</v>
      </c>
      <c r="I37" s="144">
        <f t="shared" si="15"/>
        <v>4.87</v>
      </c>
      <c r="J37" s="49">
        <f t="shared" si="2"/>
        <v>6.8966768825062497</v>
      </c>
      <c r="K37" s="13">
        <f>IF('Indicator Data'!K39="No data","x",IF('Indicator Data'!K39&gt;K$150,10,IF('Indicator Data'!K39&lt;K$149,0,10-(K$150-'Indicator Data'!K39)/(K$150-K$149)*10)))</f>
        <v>3.4666666666666668</v>
      </c>
      <c r="L37" s="13">
        <f>IF('Indicator Data'!L39="No data","x",IF('Indicator Data'!L39&gt;L$150,10,IF('Indicator Data'!L39&lt;L$149,0,10-(L$150-'Indicator Data'!L39)/(L$150-L$149)*10)))</f>
        <v>2.1500000000000004</v>
      </c>
      <c r="M37" s="13">
        <f>IF('Indicator Data'!M39="No data","x",IF('Indicator Data'!M39&gt;M$150,10,IF('Indicator Data'!M39&lt;M$149,0,10-(M$150-'Indicator Data'!M39)/(M$150-M$149)*10)))</f>
        <v>4.2677093333333325</v>
      </c>
      <c r="N37" s="144"/>
      <c r="O37" s="49">
        <f t="shared" si="3"/>
        <v>3.2947919999999997</v>
      </c>
      <c r="P37" s="42">
        <f t="shared" si="4"/>
        <v>5.6960485883374998</v>
      </c>
      <c r="Q37" s="33">
        <f>'Indicator Data'!AA39</f>
        <v>0</v>
      </c>
      <c r="R37" s="13">
        <f t="shared" si="5"/>
        <v>0</v>
      </c>
      <c r="S37" s="38">
        <f>Q37/'Indicator Data'!AN39</f>
        <v>0</v>
      </c>
      <c r="T37" s="13">
        <f t="shared" si="6"/>
        <v>0</v>
      </c>
      <c r="U37" s="14">
        <f t="shared" si="7"/>
        <v>0</v>
      </c>
      <c r="V37" s="33">
        <f>IF('Indicator Data'!Z39="",VLOOKUP($B37,'Indicator Data (national)'!$B$5:$AA$14,26,FALSE),'Indicator Data'!Z39)</f>
        <v>4580</v>
      </c>
      <c r="W37" s="13">
        <f t="shared" si="8"/>
        <v>2.2028849266795634</v>
      </c>
      <c r="X37" s="38">
        <f>IF('Indicator Data'!Z39="",V37/VLOOKUP($B37,'Indicator Data (national)'!$B$5:$AM$14,38,FALSE),V37/'Indicator Data'!AN39)</f>
        <v>1.9656905453718287E-2</v>
      </c>
      <c r="Y37" s="13">
        <f t="shared" si="9"/>
        <v>6.6497138906783224</v>
      </c>
      <c r="Z37" s="14">
        <f t="shared" si="10"/>
        <v>4.4262994086789433</v>
      </c>
      <c r="AA37" s="149">
        <f t="shared" si="11"/>
        <v>2.2131497043394717</v>
      </c>
      <c r="AB37" s="33">
        <f>VLOOKUP($B37,'Indicator Data (national)'!$B$5:$Z$14,25,FALSE)+VLOOKUP($B37,'Indicator Data (national)'!$B$5:$Z$14,24,FALSE)*0.5+VLOOKUP($B37,'Indicator Data (national)'!$B$5:$Z$14,23,FALSE)*0.25</f>
        <v>1454669.75</v>
      </c>
      <c r="AC37" s="39">
        <f>AB37/VLOOKUP($B37,'Indicator Data (national)'!$B$5:$AM$14,38,FALSE)</f>
        <v>1.5458640417299092E-2</v>
      </c>
      <c r="AD37" s="49">
        <f t="shared" si="12"/>
        <v>1.5458640417299101</v>
      </c>
      <c r="AE37" s="13">
        <f>IF('Indicator Data'!V39="No data","x",IF(('Indicator Data'!V39)&gt;AE$150,10,IF(('Indicator Data'!V39)&lt;AE$149,0,10-(AE$150-('Indicator Data'!V39))/(AE$150-AE$149)*10)))</f>
        <v>0</v>
      </c>
      <c r="AF37" s="49">
        <f t="shared" si="13"/>
        <v>0</v>
      </c>
      <c r="AG37" s="34">
        <f t="shared" si="14"/>
        <v>0.80186657074228329</v>
      </c>
      <c r="AH37" s="52">
        <f t="shared" si="16"/>
        <v>2.8095836283708131</v>
      </c>
    </row>
    <row r="38" spans="1:34" s="11" customFormat="1" x14ac:dyDescent="0.25">
      <c r="A38" s="16" t="s">
        <v>400</v>
      </c>
      <c r="B38" s="11" t="s">
        <v>575</v>
      </c>
      <c r="C38" s="16" t="s">
        <v>401</v>
      </c>
      <c r="D38" s="13">
        <f>IF('Indicator Data'!I40="No data","x",IF('Indicator Data'!I40&gt;D$150,0,IF('Indicator Data'!I40&lt;D$149,10,(D$150-'Indicator Data'!I40)/(D$150-D$149)*10)))</f>
        <v>7.9209315483971832</v>
      </c>
      <c r="E38" s="13">
        <f>IF('Indicator Data'!J40="No data","x",IF('Indicator Data'!J40&gt;E$150,10,IF('Indicator Data'!J40&lt;E$149,0,10-(E$150-'Indicator Data'!J40)/(E$150-E$149)*10)))</f>
        <v>9.8584849999999999</v>
      </c>
      <c r="F38" s="144">
        <f>IF(OR('Indicator Data'!AG40=0,'Indicator Data'!AG40="No data"),"x",IF('Indicator Data'!AG40&gt;F$150,0,IF('Indicator Data'!AG40&lt;F$149,10,(F$150-'Indicator Data'!AG40)/(F$150-F$149)*10)))</f>
        <v>7.46</v>
      </c>
      <c r="G38" s="144">
        <f>IF(OR('Indicator Data'!AE40=0,'Indicator Data'!AE40="No data"),"x",IF('Indicator Data'!AE40&gt;G$150,0,IF('Indicator Data'!AE40&lt;G$149,10,(G$150-'Indicator Data'!AE40)/(G$150-G$149)*10)))</f>
        <v>8.58</v>
      </c>
      <c r="H38" s="144">
        <f>IF(OR('Indicator Data'!AF40=0,'Indicator Data'!AF40="No data"),"x",IF('Indicator Data'!AF40&gt;H$150,0,IF('Indicator Data'!AF40&lt;H$149,10,(H$150-'Indicator Data'!AF40)/(H$150-H$149)*10)))</f>
        <v>9.3999999999999986</v>
      </c>
      <c r="I38" s="144">
        <f t="shared" si="15"/>
        <v>8.4799999999999986</v>
      </c>
      <c r="J38" s="49">
        <f t="shared" si="2"/>
        <v>9.1120857937655568</v>
      </c>
      <c r="K38" s="13">
        <f>IF('Indicator Data'!K40="No data","x",IF('Indicator Data'!K40&gt;K$150,10,IF('Indicator Data'!K40&lt;K$149,0,10-(K$150-'Indicator Data'!K40)/(K$150-K$149)*10)))</f>
        <v>2.5333333333333332</v>
      </c>
      <c r="L38" s="13">
        <f>IF('Indicator Data'!L40="No data","x",IF('Indicator Data'!L40&gt;L$150,10,IF('Indicator Data'!L40&lt;L$149,0,10-(L$150-'Indicator Data'!L40)/(L$150-L$149)*10)))</f>
        <v>2.1500000000000004</v>
      </c>
      <c r="M38" s="13">
        <f>IF('Indicator Data'!M40="No data","x",IF('Indicator Data'!M40&gt;M$150,10,IF('Indicator Data'!M40&lt;M$149,0,10-(M$150-'Indicator Data'!M40)/(M$150-M$149)*10)))</f>
        <v>3.7997813333333328</v>
      </c>
      <c r="N38" s="144"/>
      <c r="O38" s="49">
        <f t="shared" si="3"/>
        <v>2.8277048888888885</v>
      </c>
      <c r="P38" s="42">
        <f t="shared" si="4"/>
        <v>7.0172921588066677</v>
      </c>
      <c r="Q38" s="33">
        <f>'Indicator Data'!AA40</f>
        <v>3107</v>
      </c>
      <c r="R38" s="13">
        <f t="shared" si="5"/>
        <v>1.6411375108499158</v>
      </c>
      <c r="S38" s="38">
        <f>Q38/'Indicator Data'!AN40</f>
        <v>9.4113823990973799E-5</v>
      </c>
      <c r="T38" s="13">
        <f t="shared" si="6"/>
        <v>1.7808745955720378</v>
      </c>
      <c r="U38" s="14">
        <f t="shared" si="7"/>
        <v>1.7110060532109768</v>
      </c>
      <c r="V38" s="33">
        <f>IF('Indicator Data'!Z40="",VLOOKUP($B38,'Indicator Data (national)'!$B$5:$AA$14,26,FALSE),'Indicator Data'!Z40)</f>
        <v>145006</v>
      </c>
      <c r="W38" s="13">
        <f t="shared" si="8"/>
        <v>7.204619908897743</v>
      </c>
      <c r="X38" s="38">
        <f>IF('Indicator Data'!Z40="",V38/VLOOKUP($B38,'Indicator Data (national)'!$B$5:$AM$14,38,FALSE),V38/'Indicator Data'!AN40)</f>
        <v>4.3923621376360305E-3</v>
      </c>
      <c r="Y38" s="13">
        <f t="shared" si="9"/>
        <v>4.5950025250214228</v>
      </c>
      <c r="Z38" s="14">
        <f t="shared" si="10"/>
        <v>5.8998112169595824</v>
      </c>
      <c r="AA38" s="149">
        <f t="shared" si="11"/>
        <v>3.8054086350852794</v>
      </c>
      <c r="AB38" s="33">
        <f>VLOOKUP($B38,'Indicator Data (national)'!$B$5:$Z$14,25,FALSE)+VLOOKUP($B38,'Indicator Data (national)'!$B$5:$Z$14,24,FALSE)*0.5+VLOOKUP($B38,'Indicator Data (national)'!$B$5:$Z$14,23,FALSE)*0.25</f>
        <v>1454669.75</v>
      </c>
      <c r="AC38" s="39">
        <f>AB38/VLOOKUP($B38,'Indicator Data (national)'!$B$5:$AM$14,38,FALSE)</f>
        <v>1.5458640417299092E-2</v>
      </c>
      <c r="AD38" s="49">
        <f t="shared" si="12"/>
        <v>1.5458640417299101</v>
      </c>
      <c r="AE38" s="13">
        <f>IF('Indicator Data'!V40="No data","x",IF(('Indicator Data'!V40)&gt;AE$150,10,IF(('Indicator Data'!V40)&lt;AE$149,0,10-(AE$150-('Indicator Data'!V40))/(AE$150-AE$149)*10)))</f>
        <v>0</v>
      </c>
      <c r="AF38" s="49">
        <f t="shared" si="13"/>
        <v>0</v>
      </c>
      <c r="AG38" s="34">
        <f t="shared" si="14"/>
        <v>0.80186657074228329</v>
      </c>
      <c r="AH38" s="52">
        <f t="shared" si="16"/>
        <v>3.7814068208954223</v>
      </c>
    </row>
    <row r="39" spans="1:34" s="11" customFormat="1" x14ac:dyDescent="0.25">
      <c r="A39" s="16" t="s">
        <v>402</v>
      </c>
      <c r="B39" s="11" t="s">
        <v>575</v>
      </c>
      <c r="C39" s="16" t="s">
        <v>403</v>
      </c>
      <c r="D39" s="13">
        <f>IF('Indicator Data'!I41="No data","x",IF('Indicator Data'!I41&gt;D$150,0,IF('Indicator Data'!I41&lt;D$149,10,(D$150-'Indicator Data'!I41)/(D$150-D$149)*10)))</f>
        <v>7.9209315483971832</v>
      </c>
      <c r="E39" s="13">
        <f>IF('Indicator Data'!J41="No data","x",IF('Indicator Data'!J41&gt;E$150,10,IF('Indicator Data'!J41&lt;E$149,0,10-(E$150-'Indicator Data'!J41)/(E$150-E$149)*10)))</f>
        <v>9.563861666666666</v>
      </c>
      <c r="F39" s="144">
        <f>IF(OR('Indicator Data'!AG41=0,'Indicator Data'!AG41="No data"),"x",IF('Indicator Data'!AG41&gt;F$150,0,IF('Indicator Data'!AG41&lt;F$149,10,(F$150-'Indicator Data'!AG41)/(F$150-F$149)*10)))</f>
        <v>7.58</v>
      </c>
      <c r="G39" s="144">
        <f>IF(OR('Indicator Data'!AE41=0,'Indicator Data'!AE41="No data"),"x",IF('Indicator Data'!AE41&gt;G$150,0,IF('Indicator Data'!AE41&lt;G$149,10,(G$150-'Indicator Data'!AE41)/(G$150-G$149)*10)))</f>
        <v>8.6</v>
      </c>
      <c r="H39" s="144">
        <f>IF(OR('Indicator Data'!AF41=0,'Indicator Data'!AF41="No data"),"x",IF('Indicator Data'!AF41&gt;H$150,0,IF('Indicator Data'!AF41&lt;H$149,10,(H$150-'Indicator Data'!AF41)/(H$150-H$149)*10)))</f>
        <v>9.33</v>
      </c>
      <c r="I39" s="144">
        <f t="shared" si="15"/>
        <v>8.5033333333333321</v>
      </c>
      <c r="J39" s="49">
        <f t="shared" si="2"/>
        <v>8.8893992584877459</v>
      </c>
      <c r="K39" s="13">
        <f>IF('Indicator Data'!K41="No data","x",IF('Indicator Data'!K41&gt;K$150,10,IF('Indicator Data'!K41&lt;K$149,0,10-(K$150-'Indicator Data'!K41)/(K$150-K$149)*10)))</f>
        <v>2.2666666666666666</v>
      </c>
      <c r="L39" s="13">
        <f>IF('Indicator Data'!L41="No data","x",IF('Indicator Data'!L41&gt;L$150,10,IF('Indicator Data'!L41&lt;L$149,0,10-(L$150-'Indicator Data'!L41)/(L$150-L$149)*10)))</f>
        <v>2.1500000000000004</v>
      </c>
      <c r="M39" s="13">
        <f>IF('Indicator Data'!M41="No data","x",IF('Indicator Data'!M41&gt;M$150,10,IF('Indicator Data'!M41&lt;M$149,0,10-(M$150-'Indicator Data'!M41)/(M$150-M$149)*10)))</f>
        <v>3.9895479999999992</v>
      </c>
      <c r="N39" s="144"/>
      <c r="O39" s="49">
        <f t="shared" si="3"/>
        <v>2.8020715555555555</v>
      </c>
      <c r="P39" s="42">
        <f t="shared" si="4"/>
        <v>6.8602900241770159</v>
      </c>
      <c r="Q39" s="33">
        <f>'Indicator Data'!AA41</f>
        <v>0</v>
      </c>
      <c r="R39" s="13">
        <f t="shared" si="5"/>
        <v>0</v>
      </c>
      <c r="S39" s="38">
        <f>Q39/'Indicator Data'!AN41</f>
        <v>0</v>
      </c>
      <c r="T39" s="13">
        <f t="shared" si="6"/>
        <v>0</v>
      </c>
      <c r="U39" s="14">
        <f t="shared" si="7"/>
        <v>0</v>
      </c>
      <c r="V39" s="33">
        <f>IF('Indicator Data'!Z41="",VLOOKUP($B39,'Indicator Data (national)'!$B$5:$AA$14,26,FALSE),'Indicator Data'!Z41)</f>
        <v>63476</v>
      </c>
      <c r="W39" s="13">
        <f t="shared" si="8"/>
        <v>6.008698504895789</v>
      </c>
      <c r="X39" s="38">
        <f>IF('Indicator Data'!Z41="",V39/VLOOKUP($B39,'Indicator Data (national)'!$B$5:$AM$14,38,FALSE),V39/'Indicator Data'!AN41)</f>
        <v>3.5178515058328632E-3</v>
      </c>
      <c r="Y39" s="13">
        <f t="shared" si="9"/>
        <v>4.3501538168053315</v>
      </c>
      <c r="Z39" s="14">
        <f t="shared" si="10"/>
        <v>5.1794261608505607</v>
      </c>
      <c r="AA39" s="149">
        <f t="shared" si="11"/>
        <v>2.5897130804252804</v>
      </c>
      <c r="AB39" s="33">
        <f>VLOOKUP($B39,'Indicator Data (national)'!$B$5:$Z$14,25,FALSE)+VLOOKUP($B39,'Indicator Data (national)'!$B$5:$Z$14,24,FALSE)*0.5+VLOOKUP($B39,'Indicator Data (national)'!$B$5:$Z$14,23,FALSE)*0.25</f>
        <v>1454669.75</v>
      </c>
      <c r="AC39" s="39">
        <f>AB39/VLOOKUP($B39,'Indicator Data (national)'!$B$5:$AM$14,38,FALSE)</f>
        <v>1.5458640417299092E-2</v>
      </c>
      <c r="AD39" s="49">
        <f t="shared" si="12"/>
        <v>1.5458640417299101</v>
      </c>
      <c r="AE39" s="13">
        <f>IF('Indicator Data'!V41="No data","x",IF(('Indicator Data'!V41)&gt;AE$150,10,IF(('Indicator Data'!V41)&lt;AE$149,0,10-(AE$150-('Indicator Data'!V41))/(AE$150-AE$149)*10)))</f>
        <v>0</v>
      </c>
      <c r="AF39" s="49">
        <f t="shared" si="13"/>
        <v>0</v>
      </c>
      <c r="AG39" s="34">
        <f t="shared" si="14"/>
        <v>0.80186657074228329</v>
      </c>
      <c r="AH39" s="52">
        <f t="shared" si="16"/>
        <v>3.2911884331902157</v>
      </c>
    </row>
    <row r="40" spans="1:34" s="11" customFormat="1" x14ac:dyDescent="0.25">
      <c r="A40" s="16" t="s">
        <v>404</v>
      </c>
      <c r="B40" s="11" t="s">
        <v>575</v>
      </c>
      <c r="C40" s="16" t="s">
        <v>405</v>
      </c>
      <c r="D40" s="13">
        <f>IF('Indicator Data'!I42="No data","x",IF('Indicator Data'!I42&gt;D$150,0,IF('Indicator Data'!I42&lt;D$149,10,(D$150-'Indicator Data'!I42)/(D$150-D$149)*10)))</f>
        <v>7.9209315483971832</v>
      </c>
      <c r="E40" s="13">
        <f>IF('Indicator Data'!J42="No data","x",IF('Indicator Data'!J42&gt;E$150,10,IF('Indicator Data'!J42&lt;E$149,0,10-(E$150-'Indicator Data'!J42)/(E$150-E$149)*10)))</f>
        <v>10</v>
      </c>
      <c r="F40" s="144">
        <f>IF(OR('Indicator Data'!AG42=0,'Indicator Data'!AG42="No data"),"x",IF('Indicator Data'!AG42&gt;F$150,0,IF('Indicator Data'!AG42&lt;F$149,10,(F$150-'Indicator Data'!AG42)/(F$150-F$149)*10)))</f>
        <v>7.9099999999999993</v>
      </c>
      <c r="G40" s="144">
        <f>IF(OR('Indicator Data'!AE42=0,'Indicator Data'!AE42="No data"),"x",IF('Indicator Data'!AE42&gt;G$150,0,IF('Indicator Data'!AE42&lt;G$149,10,(G$150-'Indicator Data'!AE42)/(G$150-G$149)*10)))</f>
        <v>8.129999999999999</v>
      </c>
      <c r="H40" s="144">
        <f>IF(OR('Indicator Data'!AF42=0,'Indicator Data'!AF42="No data"),"x",IF('Indicator Data'!AF42&gt;H$150,0,IF('Indicator Data'!AF42&lt;H$149,10,(H$150-'Indicator Data'!AF42)/(H$150-H$149)*10)))</f>
        <v>8.740000000000002</v>
      </c>
      <c r="I40" s="144">
        <f t="shared" si="15"/>
        <v>8.26</v>
      </c>
      <c r="J40" s="49">
        <f t="shared" si="2"/>
        <v>9.2283886253020562</v>
      </c>
      <c r="K40" s="13">
        <f>IF('Indicator Data'!K42="No data","x",IF('Indicator Data'!K42&gt;K$150,10,IF('Indicator Data'!K42&lt;K$149,0,10-(K$150-'Indicator Data'!K42)/(K$150-K$149)*10)))</f>
        <v>2.6666666666666661</v>
      </c>
      <c r="L40" s="13">
        <f>IF('Indicator Data'!L42="No data","x",IF('Indicator Data'!L42&gt;L$150,10,IF('Indicator Data'!L42&lt;L$149,0,10-(L$150-'Indicator Data'!L42)/(L$150-L$149)*10)))</f>
        <v>2.1500000000000004</v>
      </c>
      <c r="M40" s="13">
        <f>IF('Indicator Data'!M42="No data","x",IF('Indicator Data'!M42&gt;M$150,10,IF('Indicator Data'!M42&lt;M$149,0,10-(M$150-'Indicator Data'!M42)/(M$150-M$149)*10)))</f>
        <v>3.7257199999999999</v>
      </c>
      <c r="N40" s="144"/>
      <c r="O40" s="49">
        <f t="shared" si="3"/>
        <v>2.8474622222222217</v>
      </c>
      <c r="P40" s="42">
        <f t="shared" si="4"/>
        <v>7.1014131576087784</v>
      </c>
      <c r="Q40" s="33">
        <f>'Indicator Data'!AA42</f>
        <v>244007</v>
      </c>
      <c r="R40" s="13">
        <f t="shared" si="5"/>
        <v>7.9580076180931236</v>
      </c>
      <c r="S40" s="38">
        <f>Q40/'Indicator Data'!AN42</f>
        <v>4.2748345432461567E-2</v>
      </c>
      <c r="T40" s="13">
        <f t="shared" si="6"/>
        <v>8.054158384530389</v>
      </c>
      <c r="U40" s="14">
        <f t="shared" si="7"/>
        <v>8.0060830013117563</v>
      </c>
      <c r="V40" s="33">
        <f>IF('Indicator Data'!Z42="",VLOOKUP($B40,'Indicator Data (national)'!$B$5:$AA$14,26,FALSE),'Indicator Data'!Z42)</f>
        <v>475192</v>
      </c>
      <c r="W40" s="13">
        <f t="shared" si="8"/>
        <v>8.9228970685222642</v>
      </c>
      <c r="X40" s="38">
        <f>IF('Indicator Data'!Z42="",V40/VLOOKUP($B40,'Indicator Data (national)'!$B$5:$AM$14,38,FALSE),V40/'Indicator Data'!AN42)</f>
        <v>8.3250364795855347E-2</v>
      </c>
      <c r="Y40" s="13">
        <f t="shared" si="9"/>
        <v>9.4932328138625692</v>
      </c>
      <c r="Z40" s="14">
        <f t="shared" si="10"/>
        <v>9.2080649411924167</v>
      </c>
      <c r="AA40" s="149">
        <f t="shared" si="11"/>
        <v>8.6070739712520865</v>
      </c>
      <c r="AB40" s="33">
        <f>VLOOKUP($B40,'Indicator Data (national)'!$B$5:$Z$14,25,FALSE)+VLOOKUP($B40,'Indicator Data (national)'!$B$5:$Z$14,24,FALSE)*0.5+VLOOKUP($B40,'Indicator Data (national)'!$B$5:$Z$14,23,FALSE)*0.25</f>
        <v>1454669.75</v>
      </c>
      <c r="AC40" s="39">
        <f>AB40/VLOOKUP($B40,'Indicator Data (national)'!$B$5:$AM$14,38,FALSE)</f>
        <v>1.5458640417299092E-2</v>
      </c>
      <c r="AD40" s="49">
        <f t="shared" si="12"/>
        <v>1.5458640417299101</v>
      </c>
      <c r="AE40" s="13">
        <f>IF('Indicator Data'!V42="No data","x",IF(('Indicator Data'!V42)&gt;AE$150,10,IF(('Indicator Data'!V42)&lt;AE$149,0,10-(AE$150-('Indicator Data'!V42))/(AE$150-AE$149)*10)))</f>
        <v>0</v>
      </c>
      <c r="AF40" s="49">
        <f t="shared" si="13"/>
        <v>0</v>
      </c>
      <c r="AG40" s="34">
        <f t="shared" si="14"/>
        <v>0.80186657074228329</v>
      </c>
      <c r="AH40" s="52">
        <f t="shared" si="16"/>
        <v>6.6817806495961758</v>
      </c>
    </row>
    <row r="41" spans="1:34" s="11" customFormat="1" x14ac:dyDescent="0.25">
      <c r="A41" s="16" t="s">
        <v>406</v>
      </c>
      <c r="B41" s="11" t="s">
        <v>575</v>
      </c>
      <c r="C41" s="16" t="s">
        <v>407</v>
      </c>
      <c r="D41" s="13">
        <f>IF('Indicator Data'!I43="No data","x",IF('Indicator Data'!I43&gt;D$150,0,IF('Indicator Data'!I43&lt;D$149,10,(D$150-'Indicator Data'!I43)/(D$150-D$149)*10)))</f>
        <v>7.9209315483971832</v>
      </c>
      <c r="E41" s="13">
        <f>IF('Indicator Data'!J43="No data","x",IF('Indicator Data'!J43&gt;E$150,10,IF('Indicator Data'!J43&lt;E$149,0,10-(E$150-'Indicator Data'!J43)/(E$150-E$149)*10)))</f>
        <v>8.9564833333333347</v>
      </c>
      <c r="F41" s="144">
        <f>IF(OR('Indicator Data'!AG43=0,'Indicator Data'!AG43="No data"),"x",IF('Indicator Data'!AG43&gt;F$150,0,IF('Indicator Data'!AG43&lt;F$149,10,(F$150-'Indicator Data'!AG43)/(F$150-F$149)*10)))</f>
        <v>5.4700000000000006</v>
      </c>
      <c r="G41" s="144">
        <f>IF(OR('Indicator Data'!AE43=0,'Indicator Data'!AE43="No data"),"x",IF('Indicator Data'!AE43&gt;G$150,0,IF('Indicator Data'!AE43&lt;G$149,10,(G$150-'Indicator Data'!AE43)/(G$150-G$149)*10)))</f>
        <v>7.87</v>
      </c>
      <c r="H41" s="144">
        <f>IF(OR('Indicator Data'!AF43=0,'Indicator Data'!AF43="No data"),"x",IF('Indicator Data'!AF43&gt;H$150,0,IF('Indicator Data'!AF43&lt;H$149,10,(H$150-'Indicator Data'!AF43)/(H$150-H$149)*10)))</f>
        <v>8.9599999999999991</v>
      </c>
      <c r="I41" s="144">
        <f t="shared" si="15"/>
        <v>7.4333333333333327</v>
      </c>
      <c r="J41" s="49">
        <f t="shared" si="2"/>
        <v>8.4893465332127835</v>
      </c>
      <c r="K41" s="13">
        <f>IF('Indicator Data'!K43="No data","x",IF('Indicator Data'!K43&gt;K$150,10,IF('Indicator Data'!K43&lt;K$149,0,10-(K$150-'Indicator Data'!K43)/(K$150-K$149)*10)))</f>
        <v>3.4666666666666668</v>
      </c>
      <c r="L41" s="13">
        <f>IF('Indicator Data'!L43="No data","x",IF('Indicator Data'!L43&gt;L$150,10,IF('Indicator Data'!L43&lt;L$149,0,10-(L$150-'Indicator Data'!L43)/(L$150-L$149)*10)))</f>
        <v>2.1500000000000004</v>
      </c>
      <c r="M41" s="13">
        <f>IF('Indicator Data'!M43="No data","x",IF('Indicator Data'!M43&gt;M$150,10,IF('Indicator Data'!M43&lt;M$149,0,10-(M$150-'Indicator Data'!M43)/(M$150-M$149)*10)))</f>
        <v>3.6695933333333333</v>
      </c>
      <c r="N41" s="144"/>
      <c r="O41" s="49">
        <f t="shared" si="3"/>
        <v>3.0954200000000003</v>
      </c>
      <c r="P41" s="42">
        <f t="shared" si="4"/>
        <v>6.6913710221418556</v>
      </c>
      <c r="Q41" s="33">
        <f>'Indicator Data'!AA43</f>
        <v>91556</v>
      </c>
      <c r="R41" s="13">
        <f t="shared" si="5"/>
        <v>6.5389560349277138</v>
      </c>
      <c r="S41" s="38">
        <f>Q41/'Indicator Data'!AN43</f>
        <v>1.6960386615899371E-2</v>
      </c>
      <c r="T41" s="13">
        <f t="shared" si="6"/>
        <v>6.4120728235705595</v>
      </c>
      <c r="U41" s="14">
        <f t="shared" si="7"/>
        <v>6.4755144292491362</v>
      </c>
      <c r="V41" s="33">
        <f>IF('Indicator Data'!Z43="",VLOOKUP($B41,'Indicator Data (national)'!$B$5:$AA$14,26,FALSE),'Indicator Data'!Z43)</f>
        <v>0</v>
      </c>
      <c r="W41" s="13">
        <f t="shared" si="8"/>
        <v>0</v>
      </c>
      <c r="X41" s="38">
        <f>IF('Indicator Data'!Z43="",V41/VLOOKUP($B41,'Indicator Data (national)'!$B$5:$AM$14,38,FALSE),V41/'Indicator Data'!AN43)</f>
        <v>0</v>
      </c>
      <c r="Y41" s="13">
        <f t="shared" si="9"/>
        <v>0</v>
      </c>
      <c r="Z41" s="14">
        <f t="shared" si="10"/>
        <v>0</v>
      </c>
      <c r="AA41" s="149">
        <f t="shared" si="11"/>
        <v>3.2377572146245681</v>
      </c>
      <c r="AB41" s="33">
        <f>VLOOKUP($B41,'Indicator Data (national)'!$B$5:$Z$14,25,FALSE)+VLOOKUP($B41,'Indicator Data (national)'!$B$5:$Z$14,24,FALSE)*0.5+VLOOKUP($B41,'Indicator Data (national)'!$B$5:$Z$14,23,FALSE)*0.25</f>
        <v>1454669.75</v>
      </c>
      <c r="AC41" s="39">
        <f>AB41/VLOOKUP($B41,'Indicator Data (national)'!$B$5:$AM$14,38,FALSE)</f>
        <v>1.5458640417299092E-2</v>
      </c>
      <c r="AD41" s="49">
        <f t="shared" si="12"/>
        <v>1.5458640417299101</v>
      </c>
      <c r="AE41" s="13">
        <f>IF('Indicator Data'!V43="No data","x",IF(('Indicator Data'!V43)&gt;AE$150,10,IF(('Indicator Data'!V43)&lt;AE$149,0,10-(AE$150-('Indicator Data'!V43))/(AE$150-AE$149)*10)))</f>
        <v>0.15979655070700005</v>
      </c>
      <c r="AF41" s="49">
        <f t="shared" si="13"/>
        <v>0.15979655070700005</v>
      </c>
      <c r="AG41" s="34">
        <f t="shared" si="14"/>
        <v>0.87626721856555378</v>
      </c>
      <c r="AH41" s="52">
        <f t="shared" si="16"/>
        <v>0.44713025521350541</v>
      </c>
    </row>
    <row r="42" spans="1:34" s="11" customFormat="1" x14ac:dyDescent="0.25">
      <c r="A42" s="16" t="s">
        <v>409</v>
      </c>
      <c r="B42" s="11" t="s">
        <v>576</v>
      </c>
      <c r="C42" s="126" t="s">
        <v>634</v>
      </c>
      <c r="D42" s="13">
        <f>IF('Indicator Data'!I44="No data","x",IF('Indicator Data'!I44&gt;D$150,0,IF('Indicator Data'!I44&lt;D$149,10,(D$150-'Indicator Data'!I44)/(D$150-D$149)*10)))</f>
        <v>6.7569230769230773</v>
      </c>
      <c r="E42" s="13">
        <f>IF('Indicator Data'!J44="No data","x",IF('Indicator Data'!J44&gt;E$150,10,IF('Indicator Data'!J44&lt;E$149,0,10-(E$150-'Indicator Data'!J44)/(E$150-E$149)*10)))</f>
        <v>4.1633699999999996</v>
      </c>
      <c r="F42" s="144">
        <f>IF(OR('Indicator Data'!AG44=0,'Indicator Data'!AG44="No data"),"x",IF('Indicator Data'!AG44&gt;F$150,0,IF('Indicator Data'!AG44&lt;F$149,10,(F$150-'Indicator Data'!AG44)/(F$150-F$149)*10)))</f>
        <v>5.2200000000000006</v>
      </c>
      <c r="G42" s="144">
        <f>IF(OR('Indicator Data'!AE44=0,'Indicator Data'!AE44="No data"),"x",IF('Indicator Data'!AE44&gt;G$150,0,IF('Indicator Data'!AE44&lt;G$149,10,(G$150-'Indicator Data'!AE44)/(G$150-G$149)*10)))</f>
        <v>8.379999999999999</v>
      </c>
      <c r="H42" s="144">
        <f>IF(OR('Indicator Data'!AF44=0,'Indicator Data'!AF44="No data"),"x",IF('Indicator Data'!AF44&gt;H$150,0,IF('Indicator Data'!AF44&lt;H$149,10,(H$150-'Indicator Data'!AF44)/(H$150-H$149)*10)))</f>
        <v>7.7</v>
      </c>
      <c r="I42" s="144">
        <f t="shared" si="15"/>
        <v>7.1000000000000005</v>
      </c>
      <c r="J42" s="49">
        <f t="shared" si="2"/>
        <v>5.6109500943193051</v>
      </c>
      <c r="K42" s="13">
        <f>IF('Indicator Data'!K44="No data","x",IF('Indicator Data'!K44&gt;K$150,10,IF('Indicator Data'!K44&lt;K$149,0,10-(K$150-'Indicator Data'!K44)/(K$150-K$149)*10)))</f>
        <v>7.7653333333333343</v>
      </c>
      <c r="L42" s="13">
        <f>IF('Indicator Data'!L44="No data","x",IF('Indicator Data'!L44&gt;L$150,10,IF('Indicator Data'!L44&lt;L$149,0,10-(L$150-'Indicator Data'!L44)/(L$150-L$149)*10)))</f>
        <v>2.6500000000000012</v>
      </c>
      <c r="M42" s="13">
        <f>IF('Indicator Data'!M44="No data","x",IF('Indicator Data'!M44&gt;M$150,10,IF('Indicator Data'!M44&lt;M$149,0,10-(M$150-'Indicator Data'!M44)/(M$150-M$149)*10)))</f>
        <v>3.1759799999999991</v>
      </c>
      <c r="N42" s="144"/>
      <c r="O42" s="49">
        <f t="shared" si="3"/>
        <v>4.5304377777777782</v>
      </c>
      <c r="P42" s="42">
        <f t="shared" si="4"/>
        <v>5.2507793221387962</v>
      </c>
      <c r="Q42" s="33">
        <f>'Indicator Data'!AA44</f>
        <v>0</v>
      </c>
      <c r="R42" s="13">
        <f t="shared" si="5"/>
        <v>0</v>
      </c>
      <c r="S42" s="38">
        <f>Q42/'Indicator Data'!AN44</f>
        <v>0</v>
      </c>
      <c r="T42" s="13">
        <f t="shared" si="6"/>
        <v>0</v>
      </c>
      <c r="U42" s="14">
        <f t="shared" si="7"/>
        <v>0</v>
      </c>
      <c r="V42" s="33">
        <f>IF('Indicator Data'!Z44="",VLOOKUP($B42,'Indicator Data (national)'!$B$5:$AA$14,26,FALSE),'Indicator Data'!Z44)</f>
        <v>412000</v>
      </c>
      <c r="W42" s="13">
        <f t="shared" si="8"/>
        <v>8.7163240534437811</v>
      </c>
      <c r="X42" s="38">
        <f>IF('Indicator Data'!Z44="",V42/VLOOKUP($B42,'Indicator Data (national)'!$B$5:$AM$14,38,FALSE),V42/'Indicator Data'!AN44)</f>
        <v>9.2889676306758782E-3</v>
      </c>
      <c r="Y42" s="13">
        <f t="shared" si="9"/>
        <v>5.5272616817033251</v>
      </c>
      <c r="Z42" s="14">
        <f t="shared" si="10"/>
        <v>7.1217928675735536</v>
      </c>
      <c r="AA42" s="149">
        <f t="shared" si="11"/>
        <v>3.5608964337867768</v>
      </c>
      <c r="AB42" s="33">
        <f>VLOOKUP($B42,'Indicator Data (national)'!$B$5:$Z$14,25,FALSE)+VLOOKUP($B42,'Indicator Data (national)'!$B$5:$Z$14,24,FALSE)*0.5+VLOOKUP($B42,'Indicator Data (national)'!$B$5:$Z$14,23,FALSE)*0.25</f>
        <v>1063067</v>
      </c>
      <c r="AC42" s="39">
        <f>AB42/VLOOKUP($B42,'Indicator Data (national)'!$B$5:$AM$14,38,FALSE)</f>
        <v>2.3967948913203186E-2</v>
      </c>
      <c r="AD42" s="49">
        <f t="shared" si="12"/>
        <v>2.3967948913203188</v>
      </c>
      <c r="AE42" s="13">
        <f>IF('Indicator Data'!V44="No data","x",IF(('Indicator Data'!V44)&gt;AE$150,10,IF(('Indicator Data'!V44)&lt;AE$149,0,10-(AE$150-('Indicator Data'!V44))/(AE$150-AE$149)*10)))</f>
        <v>6.3157894736842106</v>
      </c>
      <c r="AF42" s="49">
        <f t="shared" si="13"/>
        <v>6.3157894736842106</v>
      </c>
      <c r="AG42" s="34">
        <f t="shared" si="14"/>
        <v>4.6467511950681484</v>
      </c>
      <c r="AH42" s="52">
        <f t="shared" si="16"/>
        <v>6.0328841620802676</v>
      </c>
    </row>
    <row r="43" spans="1:34" s="11" customFormat="1" x14ac:dyDescent="0.25">
      <c r="A43" s="16" t="s">
        <v>410</v>
      </c>
      <c r="B43" s="11" t="s">
        <v>576</v>
      </c>
      <c r="C43" s="126" t="s">
        <v>635</v>
      </c>
      <c r="D43" s="13">
        <f>IF('Indicator Data'!I45="No data","x",IF('Indicator Data'!I45&gt;D$150,0,IF('Indicator Data'!I45&lt;D$149,10,(D$150-'Indicator Data'!I45)/(D$150-D$149)*10)))</f>
        <v>6.2461538461538453</v>
      </c>
      <c r="E43" s="13">
        <f>IF('Indicator Data'!J45="No data","x",IF('Indicator Data'!J45&gt;E$150,10,IF('Indicator Data'!J45&lt;E$149,0,10-(E$150-'Indicator Data'!J45)/(E$150-E$149)*10)))</f>
        <v>4.1633699999999996</v>
      </c>
      <c r="F43" s="144">
        <f>IF(OR('Indicator Data'!AG45=0,'Indicator Data'!AG45="No data"),"x",IF('Indicator Data'!AG45&gt;F$150,0,IF('Indicator Data'!AG45&lt;F$149,10,(F$150-'Indicator Data'!AG45)/(F$150-F$149)*10)))</f>
        <v>5.2200000000000006</v>
      </c>
      <c r="G43" s="144">
        <f>IF(OR('Indicator Data'!AE45=0,'Indicator Data'!AE45="No data"),"x",IF('Indicator Data'!AE45&gt;G$150,0,IF('Indicator Data'!AE45&lt;G$149,10,(G$150-'Indicator Data'!AE45)/(G$150-G$149)*10)))</f>
        <v>8.379999999999999</v>
      </c>
      <c r="H43" s="144">
        <f>IF(OR('Indicator Data'!AF45=0,'Indicator Data'!AF45="No data"),"x",IF('Indicator Data'!AF45&gt;H$150,0,IF('Indicator Data'!AF45&lt;H$149,10,(H$150-'Indicator Data'!AF45)/(H$150-H$149)*10)))</f>
        <v>7.7</v>
      </c>
      <c r="I43" s="144">
        <f t="shared" si="15"/>
        <v>7.1000000000000005</v>
      </c>
      <c r="J43" s="49">
        <f t="shared" si="2"/>
        <v>5.2972944994916604</v>
      </c>
      <c r="K43" s="13">
        <f>IF('Indicator Data'!K45="No data","x",IF('Indicator Data'!K45&gt;K$150,10,IF('Indicator Data'!K45&lt;K$149,0,10-(K$150-'Indicator Data'!K45)/(K$150-K$149)*10)))</f>
        <v>8.2560000000000002</v>
      </c>
      <c r="L43" s="13">
        <f>IF('Indicator Data'!L45="No data","x",IF('Indicator Data'!L45&gt;L$150,10,IF('Indicator Data'!L45&lt;L$149,0,10-(L$150-'Indicator Data'!L45)/(L$150-L$149)*10)))</f>
        <v>0.82499999999999929</v>
      </c>
      <c r="M43" s="13">
        <f>IF('Indicator Data'!M45="No data","x",IF('Indicator Data'!M45&gt;M$150,10,IF('Indicator Data'!M45&lt;M$149,0,10-(M$150-'Indicator Data'!M45)/(M$150-M$149)*10)))</f>
        <v>3.1759799999999991</v>
      </c>
      <c r="N43" s="144"/>
      <c r="O43" s="49">
        <f t="shared" si="3"/>
        <v>4.0856599999999998</v>
      </c>
      <c r="P43" s="42">
        <f t="shared" si="4"/>
        <v>4.8934163329944402</v>
      </c>
      <c r="Q43" s="33">
        <f>'Indicator Data'!AA45</f>
        <v>0</v>
      </c>
      <c r="R43" s="13">
        <f t="shared" si="5"/>
        <v>0</v>
      </c>
      <c r="S43" s="38">
        <f>Q43/'Indicator Data'!AN45</f>
        <v>0</v>
      </c>
      <c r="T43" s="13">
        <f t="shared" si="6"/>
        <v>0</v>
      </c>
      <c r="U43" s="14">
        <f t="shared" si="7"/>
        <v>0</v>
      </c>
      <c r="V43" s="33">
        <f>IF('Indicator Data'!Z45="",VLOOKUP($B43,'Indicator Data (national)'!$B$5:$AA$14,26,FALSE),'Indicator Data'!Z45)</f>
        <v>412000</v>
      </c>
      <c r="W43" s="13">
        <f t="shared" si="8"/>
        <v>8.7163240534437811</v>
      </c>
      <c r="X43" s="38">
        <f>IF('Indicator Data'!Z45="",V43/VLOOKUP($B43,'Indicator Data (national)'!$B$5:$AM$14,38,FALSE),V43/'Indicator Data'!AN45)</f>
        <v>9.2889676306758782E-3</v>
      </c>
      <c r="Y43" s="13">
        <f t="shared" si="9"/>
        <v>5.5272616817033251</v>
      </c>
      <c r="Z43" s="14">
        <f t="shared" si="10"/>
        <v>7.1217928675735536</v>
      </c>
      <c r="AA43" s="149">
        <f t="shared" si="11"/>
        <v>3.5608964337867768</v>
      </c>
      <c r="AB43" s="33">
        <f>VLOOKUP($B43,'Indicator Data (national)'!$B$5:$Z$14,25,FALSE)+VLOOKUP($B43,'Indicator Data (national)'!$B$5:$Z$14,24,FALSE)*0.5+VLOOKUP($B43,'Indicator Data (national)'!$B$5:$Z$14,23,FALSE)*0.25</f>
        <v>1063067</v>
      </c>
      <c r="AC43" s="39">
        <f>AB43/VLOOKUP($B43,'Indicator Data (national)'!$B$5:$AM$14,38,FALSE)</f>
        <v>2.3967948913203186E-2</v>
      </c>
      <c r="AD43" s="49">
        <f t="shared" si="12"/>
        <v>2.3967948913203188</v>
      </c>
      <c r="AE43" s="13">
        <f>IF('Indicator Data'!V45="No data","x",IF(('Indicator Data'!V45)&gt;AE$150,10,IF(('Indicator Data'!V45)&lt;AE$149,0,10-(AE$150-('Indicator Data'!V45))/(AE$150-AE$149)*10)))</f>
        <v>0</v>
      </c>
      <c r="AF43" s="49">
        <f t="shared" si="13"/>
        <v>0</v>
      </c>
      <c r="AG43" s="34">
        <f t="shared" si="14"/>
        <v>1.2711042119543197</v>
      </c>
      <c r="AH43" s="52">
        <f t="shared" si="16"/>
        <v>4.8457364982614042</v>
      </c>
    </row>
    <row r="44" spans="1:34" s="11" customFormat="1" x14ac:dyDescent="0.25">
      <c r="A44" s="16" t="s">
        <v>411</v>
      </c>
      <c r="B44" s="11" t="s">
        <v>576</v>
      </c>
      <c r="C44" s="126" t="s">
        <v>636</v>
      </c>
      <c r="D44" s="13">
        <f>IF('Indicator Data'!I46="No data","x",IF('Indicator Data'!I46&gt;D$150,0,IF('Indicator Data'!I46&lt;D$149,10,(D$150-'Indicator Data'!I46)/(D$150-D$149)*10)))</f>
        <v>7.183076923076924</v>
      </c>
      <c r="E44" s="13">
        <f>IF('Indicator Data'!J46="No data","x",IF('Indicator Data'!J46&gt;E$150,10,IF('Indicator Data'!J46&lt;E$149,0,10-(E$150-'Indicator Data'!J46)/(E$150-E$149)*10)))</f>
        <v>4.2338516666666672</v>
      </c>
      <c r="F44" s="144">
        <f>IF(OR('Indicator Data'!AG46=0,'Indicator Data'!AG46="No data"),"x",IF('Indicator Data'!AG46&gt;F$150,0,IF('Indicator Data'!AG46&lt;F$149,10,(F$150-'Indicator Data'!AG46)/(F$150-F$149)*10)))</f>
        <v>3.5900000000000003</v>
      </c>
      <c r="G44" s="144">
        <f>IF(OR('Indicator Data'!AE46=0,'Indicator Data'!AE46="No data"),"x",IF('Indicator Data'!AE46&gt;G$150,0,IF('Indicator Data'!AE46&lt;G$149,10,(G$150-'Indicator Data'!AE46)/(G$150-G$149)*10)))</f>
        <v>9.5400000000000009</v>
      </c>
      <c r="H44" s="144">
        <f>IF(OR('Indicator Data'!AF46=0,'Indicator Data'!AF46="No data"),"x",IF('Indicator Data'!AF46&gt;H$150,0,IF('Indicator Data'!AF46&lt;H$149,10,(H$150-'Indicator Data'!AF46)/(H$150-H$149)*10)))</f>
        <v>7.05</v>
      </c>
      <c r="I44" s="144">
        <f t="shared" si="15"/>
        <v>6.7266666666666666</v>
      </c>
      <c r="J44" s="49">
        <f t="shared" si="2"/>
        <v>5.9136011094123386</v>
      </c>
      <c r="K44" s="13">
        <f>IF('Indicator Data'!K46="No data","x",IF('Indicator Data'!K46&gt;K$150,10,IF('Indicator Data'!K46&lt;K$149,0,10-(K$150-'Indicator Data'!K46)/(K$150-K$149)*10)))</f>
        <v>8.222666666666667</v>
      </c>
      <c r="L44" s="13">
        <f>IF('Indicator Data'!L46="No data","x",IF('Indicator Data'!L46&gt;L$150,10,IF('Indicator Data'!L46&lt;L$149,0,10-(L$150-'Indicator Data'!L46)/(L$150-L$149)*10)))</f>
        <v>4.5</v>
      </c>
      <c r="M44" s="13">
        <f>IF('Indicator Data'!M46="No data","x",IF('Indicator Data'!M46&gt;M$150,10,IF('Indicator Data'!M46&lt;M$149,0,10-(M$150-'Indicator Data'!M46)/(M$150-M$149)*10)))</f>
        <v>1.1778906666666664</v>
      </c>
      <c r="N44" s="144"/>
      <c r="O44" s="49">
        <f t="shared" si="3"/>
        <v>4.6335191111111111</v>
      </c>
      <c r="P44" s="42">
        <f t="shared" si="4"/>
        <v>5.4869071099785955</v>
      </c>
      <c r="Q44" s="33">
        <f>'Indicator Data'!AA46</f>
        <v>0</v>
      </c>
      <c r="R44" s="13">
        <f t="shared" si="5"/>
        <v>0</v>
      </c>
      <c r="S44" s="38">
        <f>Q44/'Indicator Data'!AN46</f>
        <v>0</v>
      </c>
      <c r="T44" s="13">
        <f t="shared" si="6"/>
        <v>0</v>
      </c>
      <c r="U44" s="14">
        <f t="shared" si="7"/>
        <v>0</v>
      </c>
      <c r="V44" s="33">
        <f>IF('Indicator Data'!Z46="",VLOOKUP($B44,'Indicator Data (national)'!$B$5:$AA$14,26,FALSE),'Indicator Data'!Z46)</f>
        <v>412000</v>
      </c>
      <c r="W44" s="13">
        <f t="shared" si="8"/>
        <v>8.7163240534437811</v>
      </c>
      <c r="X44" s="38">
        <f>IF('Indicator Data'!Z46="",V44/VLOOKUP($B44,'Indicator Data (national)'!$B$5:$AM$14,38,FALSE),V44/'Indicator Data'!AN46)</f>
        <v>9.2889676306758782E-3</v>
      </c>
      <c r="Y44" s="13">
        <f t="shared" si="9"/>
        <v>5.5272616817033251</v>
      </c>
      <c r="Z44" s="14">
        <f t="shared" si="10"/>
        <v>7.1217928675735536</v>
      </c>
      <c r="AA44" s="149">
        <f t="shared" si="11"/>
        <v>3.5608964337867768</v>
      </c>
      <c r="AB44" s="33">
        <f>VLOOKUP($B44,'Indicator Data (national)'!$B$5:$Z$14,25,FALSE)+VLOOKUP($B44,'Indicator Data (national)'!$B$5:$Z$14,24,FALSE)*0.5+VLOOKUP($B44,'Indicator Data (national)'!$B$5:$Z$14,23,FALSE)*0.25</f>
        <v>1063067</v>
      </c>
      <c r="AC44" s="39">
        <f>AB44/VLOOKUP($B44,'Indicator Data (national)'!$B$5:$AM$14,38,FALSE)</f>
        <v>2.3967948913203186E-2</v>
      </c>
      <c r="AD44" s="49">
        <f t="shared" si="12"/>
        <v>2.3967948913203188</v>
      </c>
      <c r="AE44" s="13">
        <f>IF('Indicator Data'!V46="No data","x",IF(('Indicator Data'!V46)&gt;AE$150,10,IF(('Indicator Data'!V46)&lt;AE$149,0,10-(AE$150-('Indicator Data'!V46))/(AE$150-AE$149)*10)))</f>
        <v>0</v>
      </c>
      <c r="AF44" s="49">
        <f t="shared" si="13"/>
        <v>0</v>
      </c>
      <c r="AG44" s="34">
        <f t="shared" si="14"/>
        <v>1.2711042119543197</v>
      </c>
      <c r="AH44" s="52">
        <f t="shared" si="16"/>
        <v>4.8457364982614042</v>
      </c>
    </row>
    <row r="45" spans="1:34" s="11" customFormat="1" x14ac:dyDescent="0.25">
      <c r="A45" s="16" t="s">
        <v>412</v>
      </c>
      <c r="B45" s="11" t="s">
        <v>576</v>
      </c>
      <c r="C45" s="126" t="s">
        <v>637</v>
      </c>
      <c r="D45" s="13">
        <f>IF('Indicator Data'!I47="No data","x",IF('Indicator Data'!I47&gt;D$150,0,IF('Indicator Data'!I47&lt;D$149,10,(D$150-'Indicator Data'!I47)/(D$150-D$149)*10)))</f>
        <v>8.0323076923076933</v>
      </c>
      <c r="E45" s="13">
        <f>IF('Indicator Data'!J47="No data","x",IF('Indicator Data'!J47&gt;E$150,10,IF('Indicator Data'!J47&lt;E$149,0,10-(E$150-'Indicator Data'!J47)/(E$150-E$149)*10)))</f>
        <v>4.2338516666666672</v>
      </c>
      <c r="F45" s="144">
        <f>IF(OR('Indicator Data'!AG47=0,'Indicator Data'!AG47="No data"),"x",IF('Indicator Data'!AG47&gt;F$150,0,IF('Indicator Data'!AG47&lt;F$149,10,(F$150-'Indicator Data'!AG47)/(F$150-F$149)*10)))</f>
        <v>3.5900000000000003</v>
      </c>
      <c r="G45" s="144">
        <f>IF(OR('Indicator Data'!AE47=0,'Indicator Data'!AE47="No data"),"x",IF('Indicator Data'!AE47&gt;G$150,0,IF('Indicator Data'!AE47&lt;G$149,10,(G$150-'Indicator Data'!AE47)/(G$150-G$149)*10)))</f>
        <v>9.5400000000000009</v>
      </c>
      <c r="H45" s="144">
        <f>IF(OR('Indicator Data'!AF47=0,'Indicator Data'!AF47="No data"),"x",IF('Indicator Data'!AF47&gt;H$150,0,IF('Indicator Data'!AF47&lt;H$149,10,(H$150-'Indicator Data'!AF47)/(H$150-H$149)*10)))</f>
        <v>7.05</v>
      </c>
      <c r="I45" s="144">
        <f t="shared" si="15"/>
        <v>6.7266666666666666</v>
      </c>
      <c r="J45" s="49">
        <f t="shared" si="2"/>
        <v>6.5096189738198129</v>
      </c>
      <c r="K45" s="13">
        <f>IF('Indicator Data'!K47="No data","x",IF('Indicator Data'!K47&gt;K$150,10,IF('Indicator Data'!K47&lt;K$149,0,10-(K$150-'Indicator Data'!K47)/(K$150-K$149)*10)))</f>
        <v>8.6093333333333337</v>
      </c>
      <c r="L45" s="13">
        <f>IF('Indicator Data'!L47="No data","x",IF('Indicator Data'!L47&gt;L$150,10,IF('Indicator Data'!L47&lt;L$149,0,10-(L$150-'Indicator Data'!L47)/(L$150-L$149)*10)))</f>
        <v>5.2249999999999988</v>
      </c>
      <c r="M45" s="13">
        <f>IF('Indicator Data'!M47="No data","x",IF('Indicator Data'!M47&gt;M$150,10,IF('Indicator Data'!M47&lt;M$149,0,10-(M$150-'Indicator Data'!M47)/(M$150-M$149)*10)))</f>
        <v>1.1778906666666664</v>
      </c>
      <c r="N45" s="144"/>
      <c r="O45" s="49">
        <f t="shared" si="3"/>
        <v>5.0040746666666669</v>
      </c>
      <c r="P45" s="42">
        <f t="shared" si="4"/>
        <v>6.0077708714354303</v>
      </c>
      <c r="Q45" s="33">
        <f>'Indicator Data'!AA47</f>
        <v>0</v>
      </c>
      <c r="R45" s="13">
        <f t="shared" si="5"/>
        <v>0</v>
      </c>
      <c r="S45" s="38">
        <f>Q45/'Indicator Data'!AN47</f>
        <v>0</v>
      </c>
      <c r="T45" s="13">
        <f t="shared" si="6"/>
        <v>0</v>
      </c>
      <c r="U45" s="14">
        <f t="shared" si="7"/>
        <v>0</v>
      </c>
      <c r="V45" s="33">
        <f>IF('Indicator Data'!Z47="",VLOOKUP($B45,'Indicator Data (national)'!$B$5:$AA$14,26,FALSE),'Indicator Data'!Z47)</f>
        <v>412000</v>
      </c>
      <c r="W45" s="13">
        <f t="shared" si="8"/>
        <v>8.7163240534437811</v>
      </c>
      <c r="X45" s="38">
        <f>IF('Indicator Data'!Z47="",V45/VLOOKUP($B45,'Indicator Data (national)'!$B$5:$AM$14,38,FALSE),V45/'Indicator Data'!AN47)</f>
        <v>9.2889676306758782E-3</v>
      </c>
      <c r="Y45" s="13">
        <f t="shared" si="9"/>
        <v>5.5272616817033251</v>
      </c>
      <c r="Z45" s="14">
        <f t="shared" si="10"/>
        <v>7.1217928675735536</v>
      </c>
      <c r="AA45" s="149">
        <f t="shared" si="11"/>
        <v>3.5608964337867768</v>
      </c>
      <c r="AB45" s="33">
        <f>VLOOKUP($B45,'Indicator Data (national)'!$B$5:$Z$14,25,FALSE)+VLOOKUP($B45,'Indicator Data (national)'!$B$5:$Z$14,24,FALSE)*0.5+VLOOKUP($B45,'Indicator Data (national)'!$B$5:$Z$14,23,FALSE)*0.25</f>
        <v>1063067</v>
      </c>
      <c r="AC45" s="39">
        <f>AB45/VLOOKUP($B45,'Indicator Data (national)'!$B$5:$AM$14,38,FALSE)</f>
        <v>2.3967948913203186E-2</v>
      </c>
      <c r="AD45" s="49">
        <f t="shared" si="12"/>
        <v>2.3967948913203188</v>
      </c>
      <c r="AE45" s="13">
        <f>IF('Indicator Data'!V47="No data","x",IF(('Indicator Data'!V47)&gt;AE$150,10,IF(('Indicator Data'!V47)&lt;AE$149,0,10-(AE$150-('Indicator Data'!V47))/(AE$150-AE$149)*10)))</f>
        <v>0</v>
      </c>
      <c r="AF45" s="49">
        <f t="shared" si="13"/>
        <v>0</v>
      </c>
      <c r="AG45" s="34">
        <f t="shared" si="14"/>
        <v>1.2711042119543197</v>
      </c>
      <c r="AH45" s="52">
        <f t="shared" si="16"/>
        <v>4.8457364982614042</v>
      </c>
    </row>
    <row r="46" spans="1:34" s="11" customFormat="1" x14ac:dyDescent="0.25">
      <c r="A46" s="16" t="s">
        <v>413</v>
      </c>
      <c r="B46" s="11" t="s">
        <v>576</v>
      </c>
      <c r="C46" s="126" t="s">
        <v>638</v>
      </c>
      <c r="D46" s="13">
        <f>IF('Indicator Data'!I48="No data","x",IF('Indicator Data'!I48&gt;D$150,0,IF('Indicator Data'!I48&lt;D$149,10,(D$150-'Indicator Data'!I48)/(D$150-D$149)*10)))</f>
        <v>6.4292307692307693</v>
      </c>
      <c r="E46" s="13">
        <f>IF('Indicator Data'!J48="No data","x",IF('Indicator Data'!J48&gt;E$150,10,IF('Indicator Data'!J48&lt;E$149,0,10-(E$150-'Indicator Data'!J48)/(E$150-E$149)*10)))</f>
        <v>4.1633699999999996</v>
      </c>
      <c r="F46" s="144">
        <f>IF(OR('Indicator Data'!AG48=0,'Indicator Data'!AG48="No data"),"x",IF('Indicator Data'!AG48&gt;F$150,0,IF('Indicator Data'!AG48&lt;F$149,10,(F$150-'Indicator Data'!AG48)/(F$150-F$149)*10)))</f>
        <v>5.2200000000000006</v>
      </c>
      <c r="G46" s="144">
        <f>IF(OR('Indicator Data'!AE48=0,'Indicator Data'!AE48="No data"),"x",IF('Indicator Data'!AE48&gt;G$150,0,IF('Indicator Data'!AE48&lt;G$149,10,(G$150-'Indicator Data'!AE48)/(G$150-G$149)*10)))</f>
        <v>8.379999999999999</v>
      </c>
      <c r="H46" s="144">
        <f>IF(OR('Indicator Data'!AF48=0,'Indicator Data'!AF48="No data"),"x",IF('Indicator Data'!AF48&gt;H$150,0,IF('Indicator Data'!AF48&lt;H$149,10,(H$150-'Indicator Data'!AF48)/(H$150-H$149)*10)))</f>
        <v>7.7</v>
      </c>
      <c r="I46" s="144">
        <f t="shared" si="15"/>
        <v>7.1000000000000005</v>
      </c>
      <c r="J46" s="49">
        <f t="shared" si="2"/>
        <v>5.4077355730122045</v>
      </c>
      <c r="K46" s="13">
        <f>IF('Indicator Data'!K48="No data","x",IF('Indicator Data'!K48&gt;K$150,10,IF('Indicator Data'!K48&lt;K$149,0,10-(K$150-'Indicator Data'!K48)/(K$150-K$149)*10)))</f>
        <v>8.2279999999999998</v>
      </c>
      <c r="L46" s="13">
        <f>IF('Indicator Data'!L48="No data","x",IF('Indicator Data'!L48&gt;L$150,10,IF('Indicator Data'!L48&lt;L$149,0,10-(L$150-'Indicator Data'!L48)/(L$150-L$149)*10)))</f>
        <v>0.82499999999999929</v>
      </c>
      <c r="M46" s="13">
        <f>IF('Indicator Data'!M48="No data","x",IF('Indicator Data'!M48&gt;M$150,10,IF('Indicator Data'!M48&lt;M$149,0,10-(M$150-'Indicator Data'!M48)/(M$150-M$149)*10)))</f>
        <v>3.1759799999999991</v>
      </c>
      <c r="N46" s="144"/>
      <c r="O46" s="49">
        <f t="shared" si="3"/>
        <v>4.0763266666666658</v>
      </c>
      <c r="P46" s="42">
        <f t="shared" si="4"/>
        <v>4.963932604230358</v>
      </c>
      <c r="Q46" s="33">
        <f>'Indicator Data'!AA48</f>
        <v>0</v>
      </c>
      <c r="R46" s="13">
        <f t="shared" si="5"/>
        <v>0</v>
      </c>
      <c r="S46" s="38">
        <f>Q46/'Indicator Data'!AN48</f>
        <v>0</v>
      </c>
      <c r="T46" s="13">
        <f t="shared" si="6"/>
        <v>0</v>
      </c>
      <c r="U46" s="14">
        <f t="shared" si="7"/>
        <v>0</v>
      </c>
      <c r="V46" s="33">
        <f>IF('Indicator Data'!Z48="",VLOOKUP($B46,'Indicator Data (national)'!$B$5:$AA$14,26,FALSE),'Indicator Data'!Z48)</f>
        <v>412000</v>
      </c>
      <c r="W46" s="13">
        <f t="shared" si="8"/>
        <v>8.7163240534437811</v>
      </c>
      <c r="X46" s="38">
        <f>IF('Indicator Data'!Z48="",V46/VLOOKUP($B46,'Indicator Data (national)'!$B$5:$AM$14,38,FALSE),V46/'Indicator Data'!AN48)</f>
        <v>9.2889676306758782E-3</v>
      </c>
      <c r="Y46" s="13">
        <f t="shared" si="9"/>
        <v>5.5272616817033251</v>
      </c>
      <c r="Z46" s="14">
        <f t="shared" si="10"/>
        <v>7.1217928675735536</v>
      </c>
      <c r="AA46" s="149">
        <f t="shared" si="11"/>
        <v>3.5608964337867768</v>
      </c>
      <c r="AB46" s="33">
        <f>VLOOKUP($B46,'Indicator Data (national)'!$B$5:$Z$14,25,FALSE)+VLOOKUP($B46,'Indicator Data (national)'!$B$5:$Z$14,24,FALSE)*0.5+VLOOKUP($B46,'Indicator Data (national)'!$B$5:$Z$14,23,FALSE)*0.25</f>
        <v>1063067</v>
      </c>
      <c r="AC46" s="39">
        <f>AB46/VLOOKUP($B46,'Indicator Data (national)'!$B$5:$AM$14,38,FALSE)</f>
        <v>2.3967948913203186E-2</v>
      </c>
      <c r="AD46" s="49">
        <f t="shared" si="12"/>
        <v>2.3967948913203188</v>
      </c>
      <c r="AE46" s="13">
        <f>IF('Indicator Data'!V48="No data","x",IF(('Indicator Data'!V48)&gt;AE$150,10,IF(('Indicator Data'!V48)&lt;AE$149,0,10-(AE$150-('Indicator Data'!V48))/(AE$150-AE$149)*10)))</f>
        <v>0</v>
      </c>
      <c r="AF46" s="49">
        <f t="shared" si="13"/>
        <v>0</v>
      </c>
      <c r="AG46" s="34">
        <f t="shared" si="14"/>
        <v>1.2711042119543197</v>
      </c>
      <c r="AH46" s="52">
        <f t="shared" si="16"/>
        <v>4.8457364982614042</v>
      </c>
    </row>
    <row r="47" spans="1:34" s="11" customFormat="1" x14ac:dyDescent="0.25">
      <c r="A47" s="16" t="s">
        <v>414</v>
      </c>
      <c r="B47" s="11" t="s">
        <v>576</v>
      </c>
      <c r="C47" s="126" t="s">
        <v>639</v>
      </c>
      <c r="D47" s="13">
        <f>IF('Indicator Data'!I49="No data","x",IF('Indicator Data'!I49&gt;D$150,0,IF('Indicator Data'!I49&lt;D$149,10,(D$150-'Indicator Data'!I49)/(D$150-D$149)*10)))</f>
        <v>6.1184615384615384</v>
      </c>
      <c r="E47" s="13">
        <f>IF('Indicator Data'!J49="No data","x",IF('Indicator Data'!J49&gt;E$150,10,IF('Indicator Data'!J49&lt;E$149,0,10-(E$150-'Indicator Data'!J49)/(E$150-E$149)*10)))</f>
        <v>4.1374849999999999</v>
      </c>
      <c r="F47" s="144">
        <f>IF(OR('Indicator Data'!AG49=0,'Indicator Data'!AG49="No data"),"x",IF('Indicator Data'!AG49&gt;F$150,0,IF('Indicator Data'!AG49&lt;F$149,10,(F$150-'Indicator Data'!AG49)/(F$150-F$149)*10)))</f>
        <v>5.81</v>
      </c>
      <c r="G47" s="144">
        <f>IF(OR('Indicator Data'!AE49=0,'Indicator Data'!AE49="No data"),"x",IF('Indicator Data'!AE49&gt;G$150,0,IF('Indicator Data'!AE49&lt;G$149,10,(G$150-'Indicator Data'!AE49)/(G$150-G$149)*10)))</f>
        <v>9.2799999999999994</v>
      </c>
      <c r="H47" s="144">
        <f>IF(OR('Indicator Data'!AF49=0,'Indicator Data'!AF49="No data"),"x",IF('Indicator Data'!AF49&gt;H$150,0,IF('Indicator Data'!AF49&lt;H$149,10,(H$150-'Indicator Data'!AF49)/(H$150-H$149)*10)))</f>
        <v>8.01</v>
      </c>
      <c r="I47" s="144">
        <f t="shared" si="15"/>
        <v>7.7</v>
      </c>
      <c r="J47" s="49">
        <f t="shared" si="2"/>
        <v>5.210528815823908</v>
      </c>
      <c r="K47" s="13">
        <f>IF('Indicator Data'!K49="No data","x",IF('Indicator Data'!K49&gt;K$150,10,IF('Indicator Data'!K49&lt;K$149,0,10-(K$150-'Indicator Data'!K49)/(K$150-K$149)*10)))</f>
        <v>7.3279999999999994</v>
      </c>
      <c r="L47" s="13">
        <f>IF('Indicator Data'!L49="No data","x",IF('Indicator Data'!L49&gt;L$150,10,IF('Indicator Data'!L49&lt;L$149,0,10-(L$150-'Indicator Data'!L49)/(L$150-L$149)*10)))</f>
        <v>3.2249999999999996</v>
      </c>
      <c r="M47" s="13">
        <f>IF('Indicator Data'!M49="No data","x",IF('Indicator Data'!M49&gt;M$150,10,IF('Indicator Data'!M49&lt;M$149,0,10-(M$150-'Indicator Data'!M49)/(M$150-M$149)*10)))</f>
        <v>1.8867666666666665</v>
      </c>
      <c r="N47" s="144"/>
      <c r="O47" s="49">
        <f t="shared" si="3"/>
        <v>4.1465888888888882</v>
      </c>
      <c r="P47" s="42">
        <f t="shared" si="4"/>
        <v>4.8558821735122351</v>
      </c>
      <c r="Q47" s="33">
        <f>'Indicator Data'!AA49</f>
        <v>0</v>
      </c>
      <c r="R47" s="13">
        <f t="shared" si="5"/>
        <v>0</v>
      </c>
      <c r="S47" s="38">
        <f>Q47/'Indicator Data'!AN49</f>
        <v>0</v>
      </c>
      <c r="T47" s="13">
        <f t="shared" si="6"/>
        <v>0</v>
      </c>
      <c r="U47" s="14">
        <f t="shared" si="7"/>
        <v>0</v>
      </c>
      <c r="V47" s="33">
        <f>IF('Indicator Data'!Z49="",VLOOKUP($B47,'Indicator Data (national)'!$B$5:$AA$14,26,FALSE),'Indicator Data'!Z49)</f>
        <v>412000</v>
      </c>
      <c r="W47" s="13">
        <f t="shared" si="8"/>
        <v>8.7163240534437811</v>
      </c>
      <c r="X47" s="38">
        <f>IF('Indicator Data'!Z49="",V47/VLOOKUP($B47,'Indicator Data (national)'!$B$5:$AM$14,38,FALSE),V47/'Indicator Data'!AN49)</f>
        <v>9.2889676306758782E-3</v>
      </c>
      <c r="Y47" s="13">
        <f t="shared" si="9"/>
        <v>5.5272616817033251</v>
      </c>
      <c r="Z47" s="14">
        <f t="shared" si="10"/>
        <v>7.1217928675735536</v>
      </c>
      <c r="AA47" s="149">
        <f t="shared" si="11"/>
        <v>3.5608964337867768</v>
      </c>
      <c r="AB47" s="33">
        <f>VLOOKUP($B47,'Indicator Data (national)'!$B$5:$Z$14,25,FALSE)+VLOOKUP($B47,'Indicator Data (national)'!$B$5:$Z$14,24,FALSE)*0.5+VLOOKUP($B47,'Indicator Data (national)'!$B$5:$Z$14,23,FALSE)*0.25</f>
        <v>1063067</v>
      </c>
      <c r="AC47" s="39">
        <f>AB47/VLOOKUP($B47,'Indicator Data (national)'!$B$5:$AM$14,38,FALSE)</f>
        <v>2.3967948913203186E-2</v>
      </c>
      <c r="AD47" s="49">
        <f t="shared" si="12"/>
        <v>2.3967948913203188</v>
      </c>
      <c r="AE47" s="13">
        <f>IF('Indicator Data'!V49="No data","x",IF(('Indicator Data'!V49)&gt;AE$150,10,IF(('Indicator Data'!V49)&lt;AE$149,0,10-(AE$150-('Indicator Data'!V49))/(AE$150-AE$149)*10)))</f>
        <v>3.1578947368421053</v>
      </c>
      <c r="AF47" s="49">
        <f t="shared" si="13"/>
        <v>3.1578947368421053</v>
      </c>
      <c r="AG47" s="34">
        <f t="shared" si="14"/>
        <v>2.7860379913242275</v>
      </c>
      <c r="AH47" s="52">
        <f t="shared" si="16"/>
        <v>5.3481807735528006</v>
      </c>
    </row>
    <row r="48" spans="1:34" s="11" customFormat="1" x14ac:dyDescent="0.25">
      <c r="A48" s="16" t="s">
        <v>415</v>
      </c>
      <c r="B48" s="11" t="s">
        <v>576</v>
      </c>
      <c r="C48" s="126" t="s">
        <v>640</v>
      </c>
      <c r="D48" s="13">
        <f>IF('Indicator Data'!I50="No data","x",IF('Indicator Data'!I50&gt;D$150,0,IF('Indicator Data'!I50&lt;D$149,10,(D$150-'Indicator Data'!I50)/(D$150-D$149)*10)))</f>
        <v>7.4169230769230774</v>
      </c>
      <c r="E48" s="13">
        <f>IF('Indicator Data'!J50="No data","x",IF('Indicator Data'!J50&gt;E$150,10,IF('Indicator Data'!J50&lt;E$149,0,10-(E$150-'Indicator Data'!J50)/(E$150-E$149)*10)))</f>
        <v>8.6053950000000015</v>
      </c>
      <c r="F48" s="144">
        <f>IF(OR('Indicator Data'!AG50=0,'Indicator Data'!AG50="No data"),"x",IF('Indicator Data'!AG50&gt;F$150,0,IF('Indicator Data'!AG50&lt;F$149,10,(F$150-'Indicator Data'!AG50)/(F$150-F$149)*10)))</f>
        <v>5.7600000000000007</v>
      </c>
      <c r="G48" s="144">
        <f>IF(OR('Indicator Data'!AE50=0,'Indicator Data'!AE50="No data"),"x",IF('Indicator Data'!AE50&gt;G$150,0,IF('Indicator Data'!AE50&lt;G$149,10,(G$150-'Indicator Data'!AE50)/(G$150-G$149)*10)))</f>
        <v>9.01</v>
      </c>
      <c r="H48" s="144">
        <f>IF(OR('Indicator Data'!AF50=0,'Indicator Data'!AF50="No data"),"x",IF('Indicator Data'!AF50&gt;H$150,0,IF('Indicator Data'!AF50&lt;H$149,10,(H$150-'Indicator Data'!AF50)/(H$150-H$149)*10)))</f>
        <v>9.15</v>
      </c>
      <c r="I48" s="144">
        <f t="shared" si="15"/>
        <v>7.9733333333333336</v>
      </c>
      <c r="J48" s="49">
        <f t="shared" si="2"/>
        <v>8.0686472288704643</v>
      </c>
      <c r="K48" s="13">
        <f>IF('Indicator Data'!K50="No data","x",IF('Indicator Data'!K50&gt;K$150,10,IF('Indicator Data'!K50&lt;K$149,0,10-(K$150-'Indicator Data'!K50)/(K$150-K$149)*10)))</f>
        <v>8.7093333333333334</v>
      </c>
      <c r="L48" s="13">
        <f>IF('Indicator Data'!L50="No data","x",IF('Indicator Data'!L50&gt;L$150,10,IF('Indicator Data'!L50&lt;L$149,0,10-(L$150-'Indicator Data'!L50)/(L$150-L$149)*10)))</f>
        <v>4.6499999999999995</v>
      </c>
      <c r="M48" s="13">
        <f>IF('Indicator Data'!M50="No data","x",IF('Indicator Data'!M50&gt;M$150,10,IF('Indicator Data'!M50&lt;M$149,0,10-(M$150-'Indicator Data'!M50)/(M$150-M$149)*10)))</f>
        <v>3.0395586666666663</v>
      </c>
      <c r="N48" s="144"/>
      <c r="O48" s="49">
        <f t="shared" si="3"/>
        <v>5.4662973333333325</v>
      </c>
      <c r="P48" s="42">
        <f t="shared" si="4"/>
        <v>7.2011972636914203</v>
      </c>
      <c r="Q48" s="33">
        <f>'Indicator Data'!AA50</f>
        <v>356014</v>
      </c>
      <c r="R48" s="13">
        <f t="shared" si="5"/>
        <v>8.5048902554451331</v>
      </c>
      <c r="S48" s="38">
        <f>Q48/'Indicator Data'!AN50</f>
        <v>0.51240002475543212</v>
      </c>
      <c r="T48" s="13">
        <f t="shared" si="6"/>
        <v>10</v>
      </c>
      <c r="U48" s="14">
        <f t="shared" si="7"/>
        <v>9.2524451277225666</v>
      </c>
      <c r="V48" s="33">
        <f>IF('Indicator Data'!Z50="",VLOOKUP($B48,'Indicator Data (national)'!$B$5:$AA$14,26,FALSE),'Indicator Data'!Z50)</f>
        <v>412000</v>
      </c>
      <c r="W48" s="13">
        <f t="shared" si="8"/>
        <v>8.7163240534437811</v>
      </c>
      <c r="X48" s="38">
        <f>IF('Indicator Data'!Z50="",V48/VLOOKUP($B48,'Indicator Data (national)'!$B$5:$AM$14,38,FALSE),V48/'Indicator Data'!AN50)</f>
        <v>9.2889676306758782E-3</v>
      </c>
      <c r="Y48" s="13">
        <f t="shared" si="9"/>
        <v>5.5272616817033251</v>
      </c>
      <c r="Z48" s="14">
        <f t="shared" si="10"/>
        <v>7.1217928675735536</v>
      </c>
      <c r="AA48" s="149">
        <f t="shared" si="11"/>
        <v>8.1871189976480601</v>
      </c>
      <c r="AB48" s="33">
        <f>VLOOKUP($B48,'Indicator Data (national)'!$B$5:$Z$14,25,FALSE)+VLOOKUP($B48,'Indicator Data (national)'!$B$5:$Z$14,24,FALSE)*0.5+VLOOKUP($B48,'Indicator Data (national)'!$B$5:$Z$14,23,FALSE)*0.25</f>
        <v>1063067</v>
      </c>
      <c r="AC48" s="39">
        <f>AB48/VLOOKUP($B48,'Indicator Data (national)'!$B$5:$AM$14,38,FALSE)</f>
        <v>2.3967948913203186E-2</v>
      </c>
      <c r="AD48" s="49">
        <f t="shared" si="12"/>
        <v>2.3967948913203188</v>
      </c>
      <c r="AE48" s="13">
        <f>IF('Indicator Data'!V50="No data","x",IF(('Indicator Data'!V50)&gt;AE$150,10,IF(('Indicator Data'!V50)&lt;AE$149,0,10-(AE$150-('Indicator Data'!V50))/(AE$150-AE$149)*10)))</f>
        <v>10</v>
      </c>
      <c r="AF48" s="49">
        <f t="shared" si="13"/>
        <v>10</v>
      </c>
      <c r="AG48" s="34">
        <f t="shared" si="14"/>
        <v>7.999427711800486</v>
      </c>
      <c r="AH48" s="52">
        <f t="shared" si="16"/>
        <v>7.587832048507237</v>
      </c>
    </row>
    <row r="49" spans="1:34" s="11" customFormat="1" x14ac:dyDescent="0.25">
      <c r="A49" s="16" t="s">
        <v>416</v>
      </c>
      <c r="B49" s="11" t="s">
        <v>576</v>
      </c>
      <c r="C49" s="126" t="s">
        <v>641</v>
      </c>
      <c r="D49" s="13">
        <f>IF('Indicator Data'!I51="No data","x",IF('Indicator Data'!I51&gt;D$150,0,IF('Indicator Data'!I51&lt;D$149,10,(D$150-'Indicator Data'!I51)/(D$150-D$149)*10)))</f>
        <v>8.3538461538461544</v>
      </c>
      <c r="E49" s="13">
        <f>IF('Indicator Data'!J51="No data","x",IF('Indicator Data'!J51&gt;E$150,10,IF('Indicator Data'!J51&lt;E$149,0,10-(E$150-'Indicator Data'!J51)/(E$150-E$149)*10)))</f>
        <v>3.9770549999999991</v>
      </c>
      <c r="F49" s="144">
        <f>IF(OR('Indicator Data'!AG51=0,'Indicator Data'!AG51="No data"),"x",IF('Indicator Data'!AG51&gt;F$150,0,IF('Indicator Data'!AG51&lt;F$149,10,(F$150-'Indicator Data'!AG51)/(F$150-F$149)*10)))</f>
        <v>5.61</v>
      </c>
      <c r="G49" s="144">
        <f>IF(OR('Indicator Data'!AE51=0,'Indicator Data'!AE51="No data"),"x",IF('Indicator Data'!AE51&gt;G$150,0,IF('Indicator Data'!AE51&lt;G$149,10,(G$150-'Indicator Data'!AE51)/(G$150-G$149)*10)))</f>
        <v>8.82</v>
      </c>
      <c r="H49" s="144">
        <f>IF(OR('Indicator Data'!AF51=0,'Indicator Data'!AF51="No data"),"x",IF('Indicator Data'!AF51&gt;H$150,0,IF('Indicator Data'!AF51&lt;H$149,10,(H$150-'Indicator Data'!AF51)/(H$150-H$149)*10)))</f>
        <v>8.0299999999999994</v>
      </c>
      <c r="I49" s="144">
        <f t="shared" si="15"/>
        <v>7.4866666666666672</v>
      </c>
      <c r="J49" s="49">
        <f t="shared" si="2"/>
        <v>6.6759692962050101</v>
      </c>
      <c r="K49" s="13">
        <f>IF('Indicator Data'!K51="No data","x",IF('Indicator Data'!K51&gt;K$150,10,IF('Indicator Data'!K51&lt;K$149,0,10-(K$150-'Indicator Data'!K51)/(K$150-K$149)*10)))</f>
        <v>8.9239999999999995</v>
      </c>
      <c r="L49" s="13">
        <f>IF('Indicator Data'!L51="No data","x",IF('Indicator Data'!L51&gt;L$150,10,IF('Indicator Data'!L51&lt;L$149,0,10-(L$150-'Indicator Data'!L51)/(L$150-L$149)*10)))</f>
        <v>4.1500000000000004</v>
      </c>
      <c r="M49" s="13">
        <f>IF('Indicator Data'!M51="No data","x",IF('Indicator Data'!M51&gt;M$150,10,IF('Indicator Data'!M51&lt;M$149,0,10-(M$150-'Indicator Data'!M51)/(M$150-M$149)*10)))</f>
        <v>1.3206480000000003</v>
      </c>
      <c r="N49" s="144"/>
      <c r="O49" s="49">
        <f t="shared" si="3"/>
        <v>4.798216</v>
      </c>
      <c r="P49" s="42">
        <f t="shared" si="4"/>
        <v>6.0500515308033398</v>
      </c>
      <c r="Q49" s="33">
        <f>'Indicator Data'!AA51</f>
        <v>0</v>
      </c>
      <c r="R49" s="13">
        <f t="shared" si="5"/>
        <v>0</v>
      </c>
      <c r="S49" s="38">
        <f>Q49/'Indicator Data'!AN51</f>
        <v>0</v>
      </c>
      <c r="T49" s="13">
        <f t="shared" si="6"/>
        <v>0</v>
      </c>
      <c r="U49" s="14">
        <f t="shared" si="7"/>
        <v>0</v>
      </c>
      <c r="V49" s="33">
        <f>IF('Indicator Data'!Z51="",VLOOKUP($B49,'Indicator Data (national)'!$B$5:$AA$14,26,FALSE),'Indicator Data'!Z51)</f>
        <v>412000</v>
      </c>
      <c r="W49" s="13">
        <f t="shared" si="8"/>
        <v>8.7163240534437811</v>
      </c>
      <c r="X49" s="38">
        <f>IF('Indicator Data'!Z51="",V49/VLOOKUP($B49,'Indicator Data (national)'!$B$5:$AM$14,38,FALSE),V49/'Indicator Data'!AN51)</f>
        <v>9.2889676306758782E-3</v>
      </c>
      <c r="Y49" s="13">
        <f t="shared" si="9"/>
        <v>5.5272616817033251</v>
      </c>
      <c r="Z49" s="14">
        <f t="shared" si="10"/>
        <v>7.1217928675735536</v>
      </c>
      <c r="AA49" s="149">
        <f t="shared" si="11"/>
        <v>3.5608964337867768</v>
      </c>
      <c r="AB49" s="33">
        <f>VLOOKUP($B49,'Indicator Data (national)'!$B$5:$Z$14,25,FALSE)+VLOOKUP($B49,'Indicator Data (national)'!$B$5:$Z$14,24,FALSE)*0.5+VLOOKUP($B49,'Indicator Data (national)'!$B$5:$Z$14,23,FALSE)*0.25</f>
        <v>1063067</v>
      </c>
      <c r="AC49" s="39">
        <f>AB49/VLOOKUP($B49,'Indicator Data (national)'!$B$5:$AM$14,38,FALSE)</f>
        <v>2.3967948913203186E-2</v>
      </c>
      <c r="AD49" s="49">
        <f t="shared" si="12"/>
        <v>2.3967948913203188</v>
      </c>
      <c r="AE49" s="13">
        <f>IF('Indicator Data'!V51="No data","x",IF(('Indicator Data'!V51)&gt;AE$150,10,IF(('Indicator Data'!V51)&lt;AE$149,0,10-(AE$150-('Indicator Data'!V51))/(AE$150-AE$149)*10)))</f>
        <v>0</v>
      </c>
      <c r="AF49" s="49">
        <f t="shared" si="13"/>
        <v>0</v>
      </c>
      <c r="AG49" s="34">
        <f t="shared" si="14"/>
        <v>1.2711042119543197</v>
      </c>
      <c r="AH49" s="52">
        <f t="shared" si="16"/>
        <v>4.8457364982614042</v>
      </c>
    </row>
    <row r="50" spans="1:34" s="11" customFormat="1" x14ac:dyDescent="0.25">
      <c r="A50" s="16" t="s">
        <v>417</v>
      </c>
      <c r="B50" s="11" t="s">
        <v>576</v>
      </c>
      <c r="C50" s="126" t="s">
        <v>642</v>
      </c>
      <c r="D50" s="13">
        <f>IF('Indicator Data'!I52="No data","x",IF('Indicator Data'!I52&gt;D$150,0,IF('Indicator Data'!I52&lt;D$149,10,(D$150-'Indicator Data'!I52)/(D$150-D$149)*10)))</f>
        <v>7.68</v>
      </c>
      <c r="E50" s="13">
        <f>IF('Indicator Data'!J52="No data","x",IF('Indicator Data'!J52&gt;E$150,10,IF('Indicator Data'!J52&lt;E$149,0,10-(E$150-'Indicator Data'!J52)/(E$150-E$149)*10)))</f>
        <v>4.1374849999999999</v>
      </c>
      <c r="F50" s="144">
        <f>IF(OR('Indicator Data'!AG52=0,'Indicator Data'!AG52="No data"),"x",IF('Indicator Data'!AG52&gt;F$150,0,IF('Indicator Data'!AG52&lt;F$149,10,(F$150-'Indicator Data'!AG52)/(F$150-F$149)*10)))</f>
        <v>5.81</v>
      </c>
      <c r="G50" s="144">
        <f>IF(OR('Indicator Data'!AE52=0,'Indicator Data'!AE52="No data"),"x",IF('Indicator Data'!AE52&gt;G$150,0,IF('Indicator Data'!AE52&lt;G$149,10,(G$150-'Indicator Data'!AE52)/(G$150-G$149)*10)))</f>
        <v>9.2799999999999994</v>
      </c>
      <c r="H50" s="144">
        <f>IF(OR('Indicator Data'!AF52=0,'Indicator Data'!AF52="No data"),"x",IF('Indicator Data'!AF52&gt;H$150,0,IF('Indicator Data'!AF52&lt;H$149,10,(H$150-'Indicator Data'!AF52)/(H$150-H$149)*10)))</f>
        <v>8.01</v>
      </c>
      <c r="I50" s="144">
        <f t="shared" si="15"/>
        <v>7.7</v>
      </c>
      <c r="J50" s="49">
        <f t="shared" si="2"/>
        <v>6.21955859329349</v>
      </c>
      <c r="K50" s="13">
        <f>IF('Indicator Data'!K52="No data","x",IF('Indicator Data'!K52&gt;K$150,10,IF('Indicator Data'!K52&lt;K$149,0,10-(K$150-'Indicator Data'!K52)/(K$150-K$149)*10)))</f>
        <v>8.538666666666666</v>
      </c>
      <c r="L50" s="13">
        <f>IF('Indicator Data'!L52="No data","x",IF('Indicator Data'!L52&gt;L$150,10,IF('Indicator Data'!L52&lt;L$149,0,10-(L$150-'Indicator Data'!L52)/(L$150-L$149)*10)))</f>
        <v>4.5250000000000004</v>
      </c>
      <c r="M50" s="13">
        <f>IF('Indicator Data'!M52="No data","x",IF('Indicator Data'!M52&gt;M$150,10,IF('Indicator Data'!M52&lt;M$149,0,10-(M$150-'Indicator Data'!M52)/(M$150-M$149)*10)))</f>
        <v>1.8867666666666665</v>
      </c>
      <c r="N50" s="144"/>
      <c r="O50" s="49">
        <f t="shared" si="3"/>
        <v>4.9834777777777779</v>
      </c>
      <c r="P50" s="42">
        <f t="shared" si="4"/>
        <v>5.807531654788253</v>
      </c>
      <c r="Q50" s="33">
        <f>'Indicator Data'!AA52</f>
        <v>0</v>
      </c>
      <c r="R50" s="13">
        <f t="shared" si="5"/>
        <v>0</v>
      </c>
      <c r="S50" s="38">
        <f>Q50/'Indicator Data'!AN52</f>
        <v>0</v>
      </c>
      <c r="T50" s="13">
        <f t="shared" si="6"/>
        <v>0</v>
      </c>
      <c r="U50" s="14">
        <f t="shared" si="7"/>
        <v>0</v>
      </c>
      <c r="V50" s="33">
        <f>IF('Indicator Data'!Z52="",VLOOKUP($B50,'Indicator Data (national)'!$B$5:$AA$14,26,FALSE),'Indicator Data'!Z52)</f>
        <v>412000</v>
      </c>
      <c r="W50" s="13">
        <f t="shared" si="8"/>
        <v>8.7163240534437811</v>
      </c>
      <c r="X50" s="38">
        <f>IF('Indicator Data'!Z52="",V50/VLOOKUP($B50,'Indicator Data (national)'!$B$5:$AM$14,38,FALSE),V50/'Indicator Data'!AN52)</f>
        <v>9.2889676306758782E-3</v>
      </c>
      <c r="Y50" s="13">
        <f t="shared" si="9"/>
        <v>5.5272616817033251</v>
      </c>
      <c r="Z50" s="14">
        <f t="shared" si="10"/>
        <v>7.1217928675735536</v>
      </c>
      <c r="AA50" s="149">
        <f t="shared" si="11"/>
        <v>3.5608964337867768</v>
      </c>
      <c r="AB50" s="33">
        <f>VLOOKUP($B50,'Indicator Data (national)'!$B$5:$Z$14,25,FALSE)+VLOOKUP($B50,'Indicator Data (national)'!$B$5:$Z$14,24,FALSE)*0.5+VLOOKUP($B50,'Indicator Data (national)'!$B$5:$Z$14,23,FALSE)*0.25</f>
        <v>1063067</v>
      </c>
      <c r="AC50" s="39">
        <f>AB50/VLOOKUP($B50,'Indicator Data (national)'!$B$5:$AM$14,38,FALSE)</f>
        <v>2.3967948913203186E-2</v>
      </c>
      <c r="AD50" s="49">
        <f t="shared" si="12"/>
        <v>2.3967948913203188</v>
      </c>
      <c r="AE50" s="13">
        <f>IF('Indicator Data'!V52="No data","x",IF(('Indicator Data'!V52)&gt;AE$150,10,IF(('Indicator Data'!V52)&lt;AE$149,0,10-(AE$150-('Indicator Data'!V52))/(AE$150-AE$149)*10)))</f>
        <v>10</v>
      </c>
      <c r="AF50" s="49">
        <f t="shared" si="13"/>
        <v>10</v>
      </c>
      <c r="AG50" s="34">
        <f t="shared" si="14"/>
        <v>7.999427711800486</v>
      </c>
      <c r="AH50" s="52">
        <f t="shared" si="16"/>
        <v>7.587832048507237</v>
      </c>
    </row>
    <row r="51" spans="1:34" s="11" customFormat="1" x14ac:dyDescent="0.25">
      <c r="A51" s="16" t="s">
        <v>418</v>
      </c>
      <c r="B51" s="11" t="s">
        <v>576</v>
      </c>
      <c r="C51" s="126" t="s">
        <v>643</v>
      </c>
      <c r="D51" s="13">
        <f>IF('Indicator Data'!I53="No data","x",IF('Indicator Data'!I53&gt;D$150,0,IF('Indicator Data'!I53&lt;D$149,10,(D$150-'Indicator Data'!I53)/(D$150-D$149)*10)))</f>
        <v>5.5230769230769239</v>
      </c>
      <c r="E51" s="13">
        <f>IF('Indicator Data'!J53="No data","x",IF('Indicator Data'!J53&gt;E$150,10,IF('Indicator Data'!J53&lt;E$149,0,10-(E$150-'Indicator Data'!J53)/(E$150-E$149)*10)))</f>
        <v>4.1633699999999996</v>
      </c>
      <c r="F51" s="144">
        <f>IF(OR('Indicator Data'!AG53=0,'Indicator Data'!AG53="No data"),"x",IF('Indicator Data'!AG53&gt;F$150,0,IF('Indicator Data'!AG53&lt;F$149,10,(F$150-'Indicator Data'!AG53)/(F$150-F$149)*10)))</f>
        <v>5.2200000000000006</v>
      </c>
      <c r="G51" s="144">
        <f>IF(OR('Indicator Data'!AE53=0,'Indicator Data'!AE53="No data"),"x",IF('Indicator Data'!AE53&gt;G$150,0,IF('Indicator Data'!AE53&lt;G$149,10,(G$150-'Indicator Data'!AE53)/(G$150-G$149)*10)))</f>
        <v>8.379999999999999</v>
      </c>
      <c r="H51" s="144">
        <f>IF(OR('Indicator Data'!AF53=0,'Indicator Data'!AF53="No data"),"x",IF('Indicator Data'!AF53&gt;H$150,0,IF('Indicator Data'!AF53&lt;H$149,10,(H$150-'Indicator Data'!AF53)/(H$150-H$149)*10)))</f>
        <v>7.7</v>
      </c>
      <c r="I51" s="144">
        <f t="shared" si="15"/>
        <v>7.1000000000000005</v>
      </c>
      <c r="J51" s="49">
        <f t="shared" si="2"/>
        <v>4.8802030827014864</v>
      </c>
      <c r="K51" s="13">
        <f>IF('Indicator Data'!K53="No data","x",IF('Indicator Data'!K53&gt;K$150,10,IF('Indicator Data'!K53&lt;K$149,0,10-(K$150-'Indicator Data'!K53)/(K$150-K$149)*10)))</f>
        <v>7.9640000000000004</v>
      </c>
      <c r="L51" s="13">
        <f>IF('Indicator Data'!L53="No data","x",IF('Indicator Data'!L53&gt;L$150,10,IF('Indicator Data'!L53&lt;L$149,0,10-(L$150-'Indicator Data'!L53)/(L$150-L$149)*10)))</f>
        <v>3.8249999999999993</v>
      </c>
      <c r="M51" s="13">
        <f>IF('Indicator Data'!M53="No data","x",IF('Indicator Data'!M53&gt;M$150,10,IF('Indicator Data'!M53&lt;M$149,0,10-(M$150-'Indicator Data'!M53)/(M$150-M$149)*10)))</f>
        <v>3.1759799999999991</v>
      </c>
      <c r="N51" s="144"/>
      <c r="O51" s="49">
        <f t="shared" si="3"/>
        <v>4.9883266666666666</v>
      </c>
      <c r="P51" s="42">
        <f t="shared" si="4"/>
        <v>4.9162442773565465</v>
      </c>
      <c r="Q51" s="33">
        <f>'Indicator Data'!AA53</f>
        <v>0</v>
      </c>
      <c r="R51" s="13">
        <f t="shared" si="5"/>
        <v>0</v>
      </c>
      <c r="S51" s="38">
        <f>Q51/'Indicator Data'!AN53</f>
        <v>0</v>
      </c>
      <c r="T51" s="13">
        <f t="shared" si="6"/>
        <v>0</v>
      </c>
      <c r="U51" s="14">
        <f t="shared" si="7"/>
        <v>0</v>
      </c>
      <c r="V51" s="33">
        <f>IF('Indicator Data'!Z53="",VLOOKUP($B51,'Indicator Data (national)'!$B$5:$AA$14,26,FALSE),'Indicator Data'!Z53)</f>
        <v>412000</v>
      </c>
      <c r="W51" s="13">
        <f t="shared" si="8"/>
        <v>8.7163240534437811</v>
      </c>
      <c r="X51" s="38">
        <f>IF('Indicator Data'!Z53="",V51/VLOOKUP($B51,'Indicator Data (national)'!$B$5:$AM$14,38,FALSE),V51/'Indicator Data'!AN53)</f>
        <v>9.2889676306758782E-3</v>
      </c>
      <c r="Y51" s="13">
        <f t="shared" si="9"/>
        <v>5.5272616817033251</v>
      </c>
      <c r="Z51" s="14">
        <f t="shared" si="10"/>
        <v>7.1217928675735536</v>
      </c>
      <c r="AA51" s="149">
        <f t="shared" si="11"/>
        <v>3.5608964337867768</v>
      </c>
      <c r="AB51" s="33">
        <f>VLOOKUP($B51,'Indicator Data (national)'!$B$5:$Z$14,25,FALSE)+VLOOKUP($B51,'Indicator Data (national)'!$B$5:$Z$14,24,FALSE)*0.5+VLOOKUP($B51,'Indicator Data (national)'!$B$5:$Z$14,23,FALSE)*0.25</f>
        <v>1063067</v>
      </c>
      <c r="AC51" s="39">
        <f>AB51/VLOOKUP($B51,'Indicator Data (national)'!$B$5:$AM$14,38,FALSE)</f>
        <v>2.3967948913203186E-2</v>
      </c>
      <c r="AD51" s="49">
        <f t="shared" si="12"/>
        <v>2.3967948913203188</v>
      </c>
      <c r="AE51" s="13">
        <f>IF('Indicator Data'!V53="No data","x",IF(('Indicator Data'!V53)&gt;AE$150,10,IF(('Indicator Data'!V53)&lt;AE$149,0,10-(AE$150-('Indicator Data'!V53))/(AE$150-AE$149)*10)))</f>
        <v>0</v>
      </c>
      <c r="AF51" s="49">
        <f t="shared" si="13"/>
        <v>0</v>
      </c>
      <c r="AG51" s="34">
        <f t="shared" si="14"/>
        <v>1.2711042119543197</v>
      </c>
      <c r="AH51" s="52">
        <f t="shared" si="16"/>
        <v>4.8457364982614042</v>
      </c>
    </row>
    <row r="52" spans="1:34" s="11" customFormat="1" x14ac:dyDescent="0.25">
      <c r="A52" s="16" t="s">
        <v>419</v>
      </c>
      <c r="B52" s="11" t="s">
        <v>576</v>
      </c>
      <c r="C52" s="126" t="s">
        <v>644</v>
      </c>
      <c r="D52" s="13">
        <f>IF('Indicator Data'!I54="No data","x",IF('Indicator Data'!I54&gt;D$150,0,IF('Indicator Data'!I54&lt;D$149,10,(D$150-'Indicator Data'!I54)/(D$150-D$149)*10)))</f>
        <v>7.1784615384615389</v>
      </c>
      <c r="E52" s="13">
        <f>IF('Indicator Data'!J54="No data","x",IF('Indicator Data'!J54&gt;E$150,10,IF('Indicator Data'!J54&lt;E$149,0,10-(E$150-'Indicator Data'!J54)/(E$150-E$149)*10)))</f>
        <v>4.2338516666666672</v>
      </c>
      <c r="F52" s="144">
        <f>IF(OR('Indicator Data'!AG54=0,'Indicator Data'!AG54="No data"),"x",IF('Indicator Data'!AG54&gt;F$150,0,IF('Indicator Data'!AG54&lt;F$149,10,(F$150-'Indicator Data'!AG54)/(F$150-F$149)*10)))</f>
        <v>3.5900000000000003</v>
      </c>
      <c r="G52" s="144">
        <f>IF(OR('Indicator Data'!AE54=0,'Indicator Data'!AE54="No data"),"x",IF('Indicator Data'!AE54&gt;G$150,0,IF('Indicator Data'!AE54&lt;G$149,10,(G$150-'Indicator Data'!AE54)/(G$150-G$149)*10)))</f>
        <v>9.5400000000000009</v>
      </c>
      <c r="H52" s="144">
        <f>IF(OR('Indicator Data'!AF54=0,'Indicator Data'!AF54="No data"),"x",IF('Indicator Data'!AF54&gt;H$150,0,IF('Indicator Data'!AF54&lt;H$149,10,(H$150-'Indicator Data'!AF54)/(H$150-H$149)*10)))</f>
        <v>7.05</v>
      </c>
      <c r="I52" s="144">
        <f t="shared" si="15"/>
        <v>6.7266666666666666</v>
      </c>
      <c r="J52" s="49">
        <f t="shared" si="2"/>
        <v>5.9105485054698059</v>
      </c>
      <c r="K52" s="13">
        <f>IF('Indicator Data'!K54="No data","x",IF('Indicator Data'!K54&gt;K$150,10,IF('Indicator Data'!K54&lt;K$149,0,10-(K$150-'Indicator Data'!K54)/(K$150-K$149)*10)))</f>
        <v>8.4333333333333336</v>
      </c>
      <c r="L52" s="13">
        <f>IF('Indicator Data'!L54="No data","x",IF('Indicator Data'!L54&gt;L$150,10,IF('Indicator Data'!L54&lt;L$149,0,10-(L$150-'Indicator Data'!L54)/(L$150-L$149)*10)))</f>
        <v>3.5999999999999988</v>
      </c>
      <c r="M52" s="13">
        <f>IF('Indicator Data'!M54="No data","x",IF('Indicator Data'!M54&gt;M$150,10,IF('Indicator Data'!M54&lt;M$149,0,10-(M$150-'Indicator Data'!M54)/(M$150-M$149)*10)))</f>
        <v>1.1778906666666664</v>
      </c>
      <c r="N52" s="144"/>
      <c r="O52" s="49">
        <f t="shared" si="3"/>
        <v>4.4037413333333326</v>
      </c>
      <c r="P52" s="42">
        <f t="shared" si="4"/>
        <v>5.4082794480909824</v>
      </c>
      <c r="Q52" s="33">
        <f>'Indicator Data'!AA54</f>
        <v>0</v>
      </c>
      <c r="R52" s="13">
        <f t="shared" si="5"/>
        <v>0</v>
      </c>
      <c r="S52" s="38">
        <f>Q52/'Indicator Data'!AN54</f>
        <v>0</v>
      </c>
      <c r="T52" s="13">
        <f t="shared" si="6"/>
        <v>0</v>
      </c>
      <c r="U52" s="14">
        <f t="shared" si="7"/>
        <v>0</v>
      </c>
      <c r="V52" s="33">
        <f>IF('Indicator Data'!Z54="",VLOOKUP($B52,'Indicator Data (national)'!$B$5:$AA$14,26,FALSE),'Indicator Data'!Z54)</f>
        <v>412000</v>
      </c>
      <c r="W52" s="13">
        <f t="shared" si="8"/>
        <v>8.7163240534437811</v>
      </c>
      <c r="X52" s="38">
        <f>IF('Indicator Data'!Z54="",V52/VLOOKUP($B52,'Indicator Data (national)'!$B$5:$AM$14,38,FALSE),V52/'Indicator Data'!AN54)</f>
        <v>9.2889676306758782E-3</v>
      </c>
      <c r="Y52" s="13">
        <f t="shared" si="9"/>
        <v>5.5272616817033251</v>
      </c>
      <c r="Z52" s="14">
        <f t="shared" si="10"/>
        <v>7.1217928675735536</v>
      </c>
      <c r="AA52" s="149">
        <f t="shared" si="11"/>
        <v>3.5608964337867768</v>
      </c>
      <c r="AB52" s="33">
        <f>VLOOKUP($B52,'Indicator Data (national)'!$B$5:$Z$14,25,FALSE)+VLOOKUP($B52,'Indicator Data (national)'!$B$5:$Z$14,24,FALSE)*0.5+VLOOKUP($B52,'Indicator Data (national)'!$B$5:$Z$14,23,FALSE)*0.25</f>
        <v>1063067</v>
      </c>
      <c r="AC52" s="39">
        <f>AB52/VLOOKUP($B52,'Indicator Data (national)'!$B$5:$AM$14,38,FALSE)</f>
        <v>2.3967948913203186E-2</v>
      </c>
      <c r="AD52" s="49">
        <f t="shared" si="12"/>
        <v>2.3967948913203188</v>
      </c>
      <c r="AE52" s="13">
        <f>IF('Indicator Data'!V54="No data","x",IF(('Indicator Data'!V54)&gt;AE$150,10,IF(('Indicator Data'!V54)&lt;AE$149,0,10-(AE$150-('Indicator Data'!V54))/(AE$150-AE$149)*10)))</f>
        <v>0</v>
      </c>
      <c r="AF52" s="49">
        <f t="shared" si="13"/>
        <v>0</v>
      </c>
      <c r="AG52" s="34">
        <f t="shared" si="14"/>
        <v>1.2711042119543197</v>
      </c>
      <c r="AH52" s="52">
        <f t="shared" si="16"/>
        <v>4.8457364982614042</v>
      </c>
    </row>
    <row r="53" spans="1:34" s="11" customFormat="1" x14ac:dyDescent="0.25">
      <c r="A53" s="16" t="s">
        <v>420</v>
      </c>
      <c r="B53" s="11" t="s">
        <v>576</v>
      </c>
      <c r="C53" s="126" t="s">
        <v>645</v>
      </c>
      <c r="D53" s="13">
        <f>IF('Indicator Data'!I55="No data","x",IF('Indicator Data'!I55&gt;D$150,0,IF('Indicator Data'!I55&lt;D$149,10,(D$150-'Indicator Data'!I55)/(D$150-D$149)*10)))</f>
        <v>6.5876923076923077</v>
      </c>
      <c r="E53" s="13">
        <f>IF('Indicator Data'!J55="No data","x",IF('Indicator Data'!J55&gt;E$150,10,IF('Indicator Data'!J55&lt;E$149,0,10-(E$150-'Indicator Data'!J55)/(E$150-E$149)*10)))</f>
        <v>4.1633699999999996</v>
      </c>
      <c r="F53" s="144">
        <f>IF(OR('Indicator Data'!AG55=0,'Indicator Data'!AG55="No data"),"x",IF('Indicator Data'!AG55&gt;F$150,0,IF('Indicator Data'!AG55&lt;F$149,10,(F$150-'Indicator Data'!AG55)/(F$150-F$149)*10)))</f>
        <v>5.2200000000000006</v>
      </c>
      <c r="G53" s="144">
        <f>IF(OR('Indicator Data'!AE55=0,'Indicator Data'!AE55="No data"),"x",IF('Indicator Data'!AE55&gt;G$150,0,IF('Indicator Data'!AE55&lt;G$149,10,(G$150-'Indicator Data'!AE55)/(G$150-G$149)*10)))</f>
        <v>8.379999999999999</v>
      </c>
      <c r="H53" s="144">
        <f>IF(OR('Indicator Data'!AF55=0,'Indicator Data'!AF55="No data"),"x",IF('Indicator Data'!AF55&gt;H$150,0,IF('Indicator Data'!AF55&lt;H$149,10,(H$150-'Indicator Data'!AF55)/(H$150-H$149)*10)))</f>
        <v>7.7</v>
      </c>
      <c r="I53" s="144">
        <f t="shared" si="15"/>
        <v>7.1000000000000005</v>
      </c>
      <c r="J53" s="49">
        <f t="shared" si="2"/>
        <v>5.5050837491295574</v>
      </c>
      <c r="K53" s="13">
        <f>IF('Indicator Data'!K55="No data","x",IF('Indicator Data'!K55&gt;K$150,10,IF('Indicator Data'!K55&lt;K$149,0,10-(K$150-'Indicator Data'!K55)/(K$150-K$149)*10)))</f>
        <v>8.3066666666666666</v>
      </c>
      <c r="L53" s="13">
        <f>IF('Indicator Data'!L55="No data","x",IF('Indicator Data'!L55&gt;L$150,10,IF('Indicator Data'!L55&lt;L$149,0,10-(L$150-'Indicator Data'!L55)/(L$150-L$149)*10)))</f>
        <v>3.1999999999999984</v>
      </c>
      <c r="M53" s="13">
        <f>IF('Indicator Data'!M55="No data","x",IF('Indicator Data'!M55&gt;M$150,10,IF('Indicator Data'!M55&lt;M$149,0,10-(M$150-'Indicator Data'!M55)/(M$150-M$149)*10)))</f>
        <v>3.1759799999999991</v>
      </c>
      <c r="N53" s="144"/>
      <c r="O53" s="49">
        <f t="shared" si="3"/>
        <v>4.8942155555555544</v>
      </c>
      <c r="P53" s="42">
        <f t="shared" si="4"/>
        <v>5.3014610179382231</v>
      </c>
      <c r="Q53" s="33">
        <f>'Indicator Data'!AA55</f>
        <v>0</v>
      </c>
      <c r="R53" s="13">
        <f t="shared" si="5"/>
        <v>0</v>
      </c>
      <c r="S53" s="38">
        <f>Q53/'Indicator Data'!AN55</f>
        <v>0</v>
      </c>
      <c r="T53" s="13">
        <f t="shared" si="6"/>
        <v>0</v>
      </c>
      <c r="U53" s="14">
        <f t="shared" si="7"/>
        <v>0</v>
      </c>
      <c r="V53" s="33">
        <f>IF('Indicator Data'!Z55="",VLOOKUP($B53,'Indicator Data (national)'!$B$5:$AA$14,26,FALSE),'Indicator Data'!Z55)</f>
        <v>412000</v>
      </c>
      <c r="W53" s="13">
        <f t="shared" si="8"/>
        <v>8.7163240534437811</v>
      </c>
      <c r="X53" s="38">
        <f>IF('Indicator Data'!Z55="",V53/VLOOKUP($B53,'Indicator Data (national)'!$B$5:$AM$14,38,FALSE),V53/'Indicator Data'!AN55)</f>
        <v>9.2889676306758782E-3</v>
      </c>
      <c r="Y53" s="13">
        <f t="shared" si="9"/>
        <v>5.5272616817033251</v>
      </c>
      <c r="Z53" s="14">
        <f t="shared" si="10"/>
        <v>7.1217928675735536</v>
      </c>
      <c r="AA53" s="149">
        <f t="shared" si="11"/>
        <v>3.5608964337867768</v>
      </c>
      <c r="AB53" s="33">
        <f>VLOOKUP($B53,'Indicator Data (national)'!$B$5:$Z$14,25,FALSE)+VLOOKUP($B53,'Indicator Data (national)'!$B$5:$Z$14,24,FALSE)*0.5+VLOOKUP($B53,'Indicator Data (national)'!$B$5:$Z$14,23,FALSE)*0.25</f>
        <v>1063067</v>
      </c>
      <c r="AC53" s="39">
        <f>AB53/VLOOKUP($B53,'Indicator Data (national)'!$B$5:$AM$14,38,FALSE)</f>
        <v>2.3967948913203186E-2</v>
      </c>
      <c r="AD53" s="49">
        <f t="shared" si="12"/>
        <v>2.3967948913203188</v>
      </c>
      <c r="AE53" s="13">
        <f>IF('Indicator Data'!V55="No data","x",IF(('Indicator Data'!V55)&gt;AE$150,10,IF(('Indicator Data'!V55)&lt;AE$149,0,10-(AE$150-('Indicator Data'!V55))/(AE$150-AE$149)*10)))</f>
        <v>0</v>
      </c>
      <c r="AF53" s="49">
        <f t="shared" si="13"/>
        <v>0</v>
      </c>
      <c r="AG53" s="34">
        <f t="shared" si="14"/>
        <v>1.2711042119543197</v>
      </c>
      <c r="AH53" s="52">
        <f t="shared" si="16"/>
        <v>4.8457364982614042</v>
      </c>
    </row>
    <row r="54" spans="1:34" s="11" customFormat="1" x14ac:dyDescent="0.25">
      <c r="A54" s="16" t="s">
        <v>421</v>
      </c>
      <c r="B54" s="11" t="s">
        <v>576</v>
      </c>
      <c r="C54" s="126" t="s">
        <v>646</v>
      </c>
      <c r="D54" s="13">
        <f>IF('Indicator Data'!I56="No data","x",IF('Indicator Data'!I56&gt;D$150,0,IF('Indicator Data'!I56&lt;D$149,10,(D$150-'Indicator Data'!I56)/(D$150-D$149)*10)))</f>
        <v>5.9830769230769221</v>
      </c>
      <c r="E54" s="13">
        <f>IF('Indicator Data'!J56="No data","x",IF('Indicator Data'!J56&gt;E$150,10,IF('Indicator Data'!J56&lt;E$149,0,10-(E$150-'Indicator Data'!J56)/(E$150-E$149)*10)))</f>
        <v>2.2154616666666662</v>
      </c>
      <c r="F54" s="144">
        <f>IF(OR('Indicator Data'!AG56=0,'Indicator Data'!AG56="No data"),"x",IF('Indicator Data'!AG56&gt;F$150,0,IF('Indicator Data'!AG56&lt;F$149,10,(F$150-'Indicator Data'!AG56)/(F$150-F$149)*10)))</f>
        <v>3.5200000000000005</v>
      </c>
      <c r="G54" s="144">
        <f>IF(OR('Indicator Data'!AE56=0,'Indicator Data'!AE56="No data"),"x",IF('Indicator Data'!AE56&gt;G$150,0,IF('Indicator Data'!AE56&lt;G$149,10,(G$150-'Indicator Data'!AE56)/(G$150-G$149)*10)))</f>
        <v>7.9099999999999993</v>
      </c>
      <c r="H54" s="144">
        <f>IF(OR('Indicator Data'!AF56=0,'Indicator Data'!AF56="No data"),"x",IF('Indicator Data'!AF56&gt;H$150,0,IF('Indicator Data'!AF56&lt;H$149,10,(H$150-'Indicator Data'!AF56)/(H$150-H$149)*10)))</f>
        <v>6.94</v>
      </c>
      <c r="I54" s="144">
        <f t="shared" si="15"/>
        <v>6.123333333333334</v>
      </c>
      <c r="J54" s="49">
        <f t="shared" si="2"/>
        <v>4.3570608835899645</v>
      </c>
      <c r="K54" s="13">
        <f>IF('Indicator Data'!K56="No data","x",IF('Indicator Data'!K56&gt;K$150,10,IF('Indicator Data'!K56&lt;K$149,0,10-(K$150-'Indicator Data'!K56)/(K$150-K$149)*10)))</f>
        <v>7.6053333333333342</v>
      </c>
      <c r="L54" s="13">
        <f>IF('Indicator Data'!L56="No data","x",IF('Indicator Data'!L56&gt;L$150,10,IF('Indicator Data'!L56&lt;L$149,0,10-(L$150-'Indicator Data'!L56)/(L$150-L$149)*10)))</f>
        <v>2.125</v>
      </c>
      <c r="M54" s="13">
        <f>IF('Indicator Data'!M56="No data","x",IF('Indicator Data'!M56&gt;M$150,10,IF('Indicator Data'!M56&lt;M$149,0,10-(M$150-'Indicator Data'!M56)/(M$150-M$149)*10)))</f>
        <v>0.84808799999999884</v>
      </c>
      <c r="N54" s="144"/>
      <c r="O54" s="49">
        <f t="shared" si="3"/>
        <v>3.5261404444444442</v>
      </c>
      <c r="P54" s="42">
        <f t="shared" si="4"/>
        <v>4.0800874038747912</v>
      </c>
      <c r="Q54" s="33">
        <f>'Indicator Data'!AA56</f>
        <v>0</v>
      </c>
      <c r="R54" s="13">
        <f t="shared" si="5"/>
        <v>0</v>
      </c>
      <c r="S54" s="38">
        <f>Q54/'Indicator Data'!AN56</f>
        <v>0</v>
      </c>
      <c r="T54" s="13">
        <f t="shared" si="6"/>
        <v>0</v>
      </c>
      <c r="U54" s="14">
        <f t="shared" si="7"/>
        <v>0</v>
      </c>
      <c r="V54" s="33">
        <f>IF('Indicator Data'!Z56="",VLOOKUP($B54,'Indicator Data (national)'!$B$5:$AA$14,26,FALSE),'Indicator Data'!Z56)</f>
        <v>412000</v>
      </c>
      <c r="W54" s="13">
        <f t="shared" si="8"/>
        <v>8.7163240534437811</v>
      </c>
      <c r="X54" s="38">
        <f>IF('Indicator Data'!Z56="",V54/VLOOKUP($B54,'Indicator Data (national)'!$B$5:$AM$14,38,FALSE),V54/'Indicator Data'!AN56)</f>
        <v>9.2889676306758782E-3</v>
      </c>
      <c r="Y54" s="13">
        <f t="shared" si="9"/>
        <v>5.5272616817033251</v>
      </c>
      <c r="Z54" s="14">
        <f t="shared" si="10"/>
        <v>7.1217928675735536</v>
      </c>
      <c r="AA54" s="149">
        <f t="shared" si="11"/>
        <v>3.5608964337867768</v>
      </c>
      <c r="AB54" s="33">
        <f>VLOOKUP($B54,'Indicator Data (national)'!$B$5:$Z$14,25,FALSE)+VLOOKUP($B54,'Indicator Data (national)'!$B$5:$Z$14,24,FALSE)*0.5+VLOOKUP($B54,'Indicator Data (national)'!$B$5:$Z$14,23,FALSE)*0.25</f>
        <v>1063067</v>
      </c>
      <c r="AC54" s="39">
        <f>AB54/VLOOKUP($B54,'Indicator Data (national)'!$B$5:$AM$14,38,FALSE)</f>
        <v>2.3967948913203186E-2</v>
      </c>
      <c r="AD54" s="49">
        <f t="shared" si="12"/>
        <v>2.3967948913203188</v>
      </c>
      <c r="AE54" s="13">
        <f>IF('Indicator Data'!V56="No data","x",IF(('Indicator Data'!V56)&gt;AE$150,10,IF(('Indicator Data'!V56)&lt;AE$149,0,10-(AE$150-('Indicator Data'!V56))/(AE$150-AE$149)*10)))</f>
        <v>0</v>
      </c>
      <c r="AF54" s="49">
        <f t="shared" si="13"/>
        <v>0</v>
      </c>
      <c r="AG54" s="34">
        <f t="shared" si="14"/>
        <v>1.2711042119543197</v>
      </c>
      <c r="AH54" s="52">
        <f t="shared" si="16"/>
        <v>4.8457364982614042</v>
      </c>
    </row>
    <row r="55" spans="1:34" s="11" customFormat="1" x14ac:dyDescent="0.25">
      <c r="A55" s="16" t="s">
        <v>422</v>
      </c>
      <c r="B55" s="11" t="s">
        <v>576</v>
      </c>
      <c r="C55" s="126" t="s">
        <v>647</v>
      </c>
      <c r="D55" s="13">
        <f>IF('Indicator Data'!I57="No data","x",IF('Indicator Data'!I57&gt;D$150,0,IF('Indicator Data'!I57&lt;D$149,10,(D$150-'Indicator Data'!I57)/(D$150-D$149)*10)))</f>
        <v>5.861538461538462</v>
      </c>
      <c r="E55" s="13">
        <f>IF('Indicator Data'!J57="No data","x",IF('Indicator Data'!J57&gt;E$150,10,IF('Indicator Data'!J57&lt;E$149,0,10-(E$150-'Indicator Data'!J57)/(E$150-E$149)*10)))</f>
        <v>4.2437783333333332</v>
      </c>
      <c r="F55" s="144">
        <f>IF(OR('Indicator Data'!AG57=0,'Indicator Data'!AG57="No data"),"x",IF('Indicator Data'!AG57&gt;F$150,0,IF('Indicator Data'!AG57&lt;F$149,10,(F$150-'Indicator Data'!AG57)/(F$150-F$149)*10)))</f>
        <v>4.49</v>
      </c>
      <c r="G55" s="144">
        <f>IF(OR('Indicator Data'!AE57=0,'Indicator Data'!AE57="No data"),"x",IF('Indicator Data'!AE57&gt;G$150,0,IF('Indicator Data'!AE57&lt;G$149,10,(G$150-'Indicator Data'!AE57)/(G$150-G$149)*10)))</f>
        <v>7.35</v>
      </c>
      <c r="H55" s="144">
        <f>IF(OR('Indicator Data'!AF57=0,'Indicator Data'!AF57="No data"),"x",IF('Indicator Data'!AF57&gt;H$150,0,IF('Indicator Data'!AF57&lt;H$149,10,(H$150-'Indicator Data'!AF57)/(H$150-H$149)*10)))</f>
        <v>7.8299999999999992</v>
      </c>
      <c r="I55" s="144">
        <f t="shared" si="15"/>
        <v>6.5566666666666658</v>
      </c>
      <c r="J55" s="49">
        <f t="shared" si="2"/>
        <v>5.1068990624126309</v>
      </c>
      <c r="K55" s="13">
        <f>IF('Indicator Data'!K57="No data","x",IF('Indicator Data'!K57&gt;K$150,10,IF('Indicator Data'!K57&lt;K$149,0,10-(K$150-'Indicator Data'!K57)/(K$150-K$149)*10)))</f>
        <v>8.881333333333334</v>
      </c>
      <c r="L55" s="13">
        <f>IF('Indicator Data'!L57="No data","x",IF('Indicator Data'!L57&gt;L$150,10,IF('Indicator Data'!L57&lt;L$149,0,10-(L$150-'Indicator Data'!L57)/(L$150-L$149)*10)))</f>
        <v>7.8749999999999982</v>
      </c>
      <c r="M55" s="13">
        <f>IF('Indicator Data'!M57="No data","x",IF('Indicator Data'!M57&gt;M$150,10,IF('Indicator Data'!M57&lt;M$149,0,10-(M$150-'Indicator Data'!M57)/(M$150-M$149)*10)))</f>
        <v>2.7714226666666661</v>
      </c>
      <c r="N55" s="144"/>
      <c r="O55" s="49">
        <f t="shared" si="3"/>
        <v>6.5092519999999991</v>
      </c>
      <c r="P55" s="42">
        <f t="shared" si="4"/>
        <v>5.5743500416084197</v>
      </c>
      <c r="Q55" s="33">
        <f>'Indicator Data'!AA57</f>
        <v>0</v>
      </c>
      <c r="R55" s="13">
        <f t="shared" si="5"/>
        <v>0</v>
      </c>
      <c r="S55" s="38">
        <f>Q55/'Indicator Data'!AN57</f>
        <v>0</v>
      </c>
      <c r="T55" s="13">
        <f t="shared" si="6"/>
        <v>0</v>
      </c>
      <c r="U55" s="14">
        <f t="shared" si="7"/>
        <v>0</v>
      </c>
      <c r="V55" s="33">
        <f>IF('Indicator Data'!Z57="",VLOOKUP($B55,'Indicator Data (national)'!$B$5:$AA$14,26,FALSE),'Indicator Data'!Z57)</f>
        <v>412000</v>
      </c>
      <c r="W55" s="13">
        <f t="shared" si="8"/>
        <v>8.7163240534437811</v>
      </c>
      <c r="X55" s="38">
        <f>IF('Indicator Data'!Z57="",V55/VLOOKUP($B55,'Indicator Data (national)'!$B$5:$AM$14,38,FALSE),V55/'Indicator Data'!AN57)</f>
        <v>9.2889676306758782E-3</v>
      </c>
      <c r="Y55" s="13">
        <f t="shared" si="9"/>
        <v>5.5272616817033251</v>
      </c>
      <c r="Z55" s="14">
        <f t="shared" si="10"/>
        <v>7.1217928675735536</v>
      </c>
      <c r="AA55" s="149">
        <f t="shared" si="11"/>
        <v>3.5608964337867768</v>
      </c>
      <c r="AB55" s="33">
        <f>VLOOKUP($B55,'Indicator Data (national)'!$B$5:$Z$14,25,FALSE)+VLOOKUP($B55,'Indicator Data (national)'!$B$5:$Z$14,24,FALSE)*0.5+VLOOKUP($B55,'Indicator Data (national)'!$B$5:$Z$14,23,FALSE)*0.25</f>
        <v>1063067</v>
      </c>
      <c r="AC55" s="39">
        <f>AB55/VLOOKUP($B55,'Indicator Data (national)'!$B$5:$AM$14,38,FALSE)</f>
        <v>2.3967948913203186E-2</v>
      </c>
      <c r="AD55" s="49">
        <f t="shared" si="12"/>
        <v>2.3967948913203188</v>
      </c>
      <c r="AE55" s="13">
        <f>IF('Indicator Data'!V57="No data","x",IF(('Indicator Data'!V57)&gt;AE$150,10,IF(('Indicator Data'!V57)&lt;AE$149,0,10-(AE$150-('Indicator Data'!V57))/(AE$150-AE$149)*10)))</f>
        <v>3.1578947368421053</v>
      </c>
      <c r="AF55" s="49">
        <f t="shared" si="13"/>
        <v>3.1578947368421053</v>
      </c>
      <c r="AG55" s="34">
        <f t="shared" si="14"/>
        <v>2.7860379913242275</v>
      </c>
      <c r="AH55" s="52">
        <f t="shared" si="16"/>
        <v>5.3481807735528006</v>
      </c>
    </row>
    <row r="56" spans="1:34" s="11" customFormat="1" x14ac:dyDescent="0.25">
      <c r="A56" s="16" t="s">
        <v>423</v>
      </c>
      <c r="B56" s="11" t="s">
        <v>576</v>
      </c>
      <c r="C56" s="126" t="s">
        <v>648</v>
      </c>
      <c r="D56" s="13">
        <f>IF('Indicator Data'!I58="No data","x",IF('Indicator Data'!I58&gt;D$150,0,IF('Indicator Data'!I58&lt;D$149,10,(D$150-'Indicator Data'!I58)/(D$150-D$149)*10)))</f>
        <v>5.861538461538462</v>
      </c>
      <c r="E56" s="13">
        <f>IF('Indicator Data'!J58="No data","x",IF('Indicator Data'!J58&gt;E$150,10,IF('Indicator Data'!J58&lt;E$149,0,10-(E$150-'Indicator Data'!J58)/(E$150-E$149)*10)))</f>
        <v>2.2154616666666662</v>
      </c>
      <c r="F56" s="144">
        <f>IF(OR('Indicator Data'!AG58=0,'Indicator Data'!AG58="No data"),"x",IF('Indicator Data'!AG58&gt;F$150,0,IF('Indicator Data'!AG58&lt;F$149,10,(F$150-'Indicator Data'!AG58)/(F$150-F$149)*10)))</f>
        <v>3.5200000000000005</v>
      </c>
      <c r="G56" s="144">
        <f>IF(OR('Indicator Data'!AE58=0,'Indicator Data'!AE58="No data"),"x",IF('Indicator Data'!AE58&gt;G$150,0,IF('Indicator Data'!AE58&lt;G$149,10,(G$150-'Indicator Data'!AE58)/(G$150-G$149)*10)))</f>
        <v>7.9099999999999993</v>
      </c>
      <c r="H56" s="144">
        <f>IF(OR('Indicator Data'!AF58=0,'Indicator Data'!AF58="No data"),"x",IF('Indicator Data'!AF58&gt;H$150,0,IF('Indicator Data'!AF58&lt;H$149,10,(H$150-'Indicator Data'!AF58)/(H$150-H$149)*10)))</f>
        <v>6.94</v>
      </c>
      <c r="I56" s="144">
        <f t="shared" si="15"/>
        <v>6.123333333333334</v>
      </c>
      <c r="J56" s="49">
        <f t="shared" si="2"/>
        <v>4.2774914243168798</v>
      </c>
      <c r="K56" s="13">
        <f>IF('Indicator Data'!K58="No data","x",IF('Indicator Data'!K58&gt;K$150,10,IF('Indicator Data'!K58&lt;K$149,0,10-(K$150-'Indicator Data'!K58)/(K$150-K$149)*10)))</f>
        <v>7.6546666666666674</v>
      </c>
      <c r="L56" s="13">
        <f>IF('Indicator Data'!L58="No data","x",IF('Indicator Data'!L58&gt;L$150,10,IF('Indicator Data'!L58&lt;L$149,0,10-(L$150-'Indicator Data'!L58)/(L$150-L$149)*10)))</f>
        <v>2.5999999999999988</v>
      </c>
      <c r="M56" s="13">
        <f>IF('Indicator Data'!M58="No data","x",IF('Indicator Data'!M58&gt;M$150,10,IF('Indicator Data'!M58&lt;M$149,0,10-(M$150-'Indicator Data'!M58)/(M$150-M$149)*10)))</f>
        <v>0.84808799999999884</v>
      </c>
      <c r="N56" s="144"/>
      <c r="O56" s="49">
        <f t="shared" si="3"/>
        <v>3.7009182222222212</v>
      </c>
      <c r="P56" s="42">
        <f t="shared" si="4"/>
        <v>4.0853003569519935</v>
      </c>
      <c r="Q56" s="33">
        <f>'Indicator Data'!AA58</f>
        <v>0</v>
      </c>
      <c r="R56" s="13">
        <f t="shared" si="5"/>
        <v>0</v>
      </c>
      <c r="S56" s="38">
        <f>Q56/'Indicator Data'!AN58</f>
        <v>0</v>
      </c>
      <c r="T56" s="13">
        <f t="shared" si="6"/>
        <v>0</v>
      </c>
      <c r="U56" s="14">
        <f t="shared" si="7"/>
        <v>0</v>
      </c>
      <c r="V56" s="33">
        <f>IF('Indicator Data'!Z58="",VLOOKUP($B56,'Indicator Data (national)'!$B$5:$AA$14,26,FALSE),'Indicator Data'!Z58)</f>
        <v>412000</v>
      </c>
      <c r="W56" s="13">
        <f t="shared" si="8"/>
        <v>8.7163240534437811</v>
      </c>
      <c r="X56" s="38">
        <f>IF('Indicator Data'!Z58="",V56/VLOOKUP($B56,'Indicator Data (national)'!$B$5:$AM$14,38,FALSE),V56/'Indicator Data'!AN58)</f>
        <v>9.2889676306758782E-3</v>
      </c>
      <c r="Y56" s="13">
        <f t="shared" si="9"/>
        <v>5.5272616817033251</v>
      </c>
      <c r="Z56" s="14">
        <f t="shared" si="10"/>
        <v>7.1217928675735536</v>
      </c>
      <c r="AA56" s="149">
        <f t="shared" si="11"/>
        <v>3.5608964337867768</v>
      </c>
      <c r="AB56" s="33">
        <f>VLOOKUP($B56,'Indicator Data (national)'!$B$5:$Z$14,25,FALSE)+VLOOKUP($B56,'Indicator Data (national)'!$B$5:$Z$14,24,FALSE)*0.5+VLOOKUP($B56,'Indicator Data (national)'!$B$5:$Z$14,23,FALSE)*0.25</f>
        <v>1063067</v>
      </c>
      <c r="AC56" s="39">
        <f>AB56/VLOOKUP($B56,'Indicator Data (national)'!$B$5:$AM$14,38,FALSE)</f>
        <v>2.3967948913203186E-2</v>
      </c>
      <c r="AD56" s="49">
        <f t="shared" si="12"/>
        <v>2.3967948913203188</v>
      </c>
      <c r="AE56" s="13">
        <f>IF('Indicator Data'!V58="No data","x",IF(('Indicator Data'!V58)&gt;AE$150,10,IF(('Indicator Data'!V58)&lt;AE$149,0,10-(AE$150-('Indicator Data'!V58))/(AE$150-AE$149)*10)))</f>
        <v>0</v>
      </c>
      <c r="AF56" s="49">
        <f t="shared" si="13"/>
        <v>0</v>
      </c>
      <c r="AG56" s="34">
        <f t="shared" si="14"/>
        <v>1.2711042119543197</v>
      </c>
      <c r="AH56" s="52">
        <f t="shared" si="16"/>
        <v>4.8457364982614042</v>
      </c>
    </row>
    <row r="57" spans="1:34" s="11" customFormat="1" x14ac:dyDescent="0.25">
      <c r="A57" s="16" t="s">
        <v>424</v>
      </c>
      <c r="B57" s="11" t="s">
        <v>576</v>
      </c>
      <c r="C57" s="126" t="s">
        <v>649</v>
      </c>
      <c r="D57" s="13">
        <f>IF('Indicator Data'!I59="No data","x",IF('Indicator Data'!I59&gt;D$150,0,IF('Indicator Data'!I59&lt;D$149,10,(D$150-'Indicator Data'!I59)/(D$150-D$149)*10)))</f>
        <v>6.74</v>
      </c>
      <c r="E57" s="13">
        <f>IF('Indicator Data'!J59="No data","x",IF('Indicator Data'!J59&gt;E$150,10,IF('Indicator Data'!J59&lt;E$149,0,10-(E$150-'Indicator Data'!J59)/(E$150-E$149)*10)))</f>
        <v>3.9770549999999991</v>
      </c>
      <c r="F57" s="144">
        <f>IF(OR('Indicator Data'!AG59=0,'Indicator Data'!AG59="No data"),"x",IF('Indicator Data'!AG59&gt;F$150,0,IF('Indicator Data'!AG59&lt;F$149,10,(F$150-'Indicator Data'!AG59)/(F$150-F$149)*10)))</f>
        <v>5.61</v>
      </c>
      <c r="G57" s="144">
        <f>IF(OR('Indicator Data'!AE59=0,'Indicator Data'!AE59="No data"),"x",IF('Indicator Data'!AE59&gt;G$150,0,IF('Indicator Data'!AE59&lt;G$149,10,(G$150-'Indicator Data'!AE59)/(G$150-G$149)*10)))</f>
        <v>8.82</v>
      </c>
      <c r="H57" s="144">
        <f>IF(OR('Indicator Data'!AF59=0,'Indicator Data'!AF59="No data"),"x",IF('Indicator Data'!AF59&gt;H$150,0,IF('Indicator Data'!AF59&lt;H$149,10,(H$150-'Indicator Data'!AF59)/(H$150-H$149)*10)))</f>
        <v>8.0299999999999994</v>
      </c>
      <c r="I57" s="144">
        <f t="shared" si="15"/>
        <v>7.4866666666666672</v>
      </c>
      <c r="J57" s="49">
        <f t="shared" si="2"/>
        <v>5.5268697181761759</v>
      </c>
      <c r="K57" s="13">
        <f>IF('Indicator Data'!K59="No data","x",IF('Indicator Data'!K59&gt;K$150,10,IF('Indicator Data'!K59&lt;K$149,0,10-(K$150-'Indicator Data'!K59)/(K$150-K$149)*10)))</f>
        <v>8.3879999999999999</v>
      </c>
      <c r="L57" s="13">
        <f>IF('Indicator Data'!L59="No data","x",IF('Indicator Data'!L59&gt;L$150,10,IF('Indicator Data'!L59&lt;L$149,0,10-(L$150-'Indicator Data'!L59)/(L$150-L$149)*10)))</f>
        <v>4.2499999999999991</v>
      </c>
      <c r="M57" s="13">
        <f>IF('Indicator Data'!M59="No data","x",IF('Indicator Data'!M59&gt;M$150,10,IF('Indicator Data'!M59&lt;M$149,0,10-(M$150-'Indicator Data'!M59)/(M$150-M$149)*10)))</f>
        <v>1.3206480000000003</v>
      </c>
      <c r="N57" s="144"/>
      <c r="O57" s="49">
        <f t="shared" si="3"/>
        <v>4.6528826666666658</v>
      </c>
      <c r="P57" s="42">
        <f t="shared" si="4"/>
        <v>5.2355407010063395</v>
      </c>
      <c r="Q57" s="33">
        <f>'Indicator Data'!AA59</f>
        <v>0</v>
      </c>
      <c r="R57" s="13">
        <f t="shared" si="5"/>
        <v>0</v>
      </c>
      <c r="S57" s="38">
        <f>Q57/'Indicator Data'!AN59</f>
        <v>0</v>
      </c>
      <c r="T57" s="13">
        <f t="shared" si="6"/>
        <v>0</v>
      </c>
      <c r="U57" s="14">
        <f t="shared" si="7"/>
        <v>0</v>
      </c>
      <c r="V57" s="33">
        <f>IF('Indicator Data'!Z59="",VLOOKUP($B57,'Indicator Data (national)'!$B$5:$AA$14,26,FALSE),'Indicator Data'!Z59)</f>
        <v>412000</v>
      </c>
      <c r="W57" s="13">
        <f t="shared" si="8"/>
        <v>8.7163240534437811</v>
      </c>
      <c r="X57" s="38">
        <f>IF('Indicator Data'!Z59="",V57/VLOOKUP($B57,'Indicator Data (national)'!$B$5:$AM$14,38,FALSE),V57/'Indicator Data'!AN59)</f>
        <v>9.2889676306758782E-3</v>
      </c>
      <c r="Y57" s="13">
        <f t="shared" si="9"/>
        <v>5.5272616817033251</v>
      </c>
      <c r="Z57" s="14">
        <f t="shared" si="10"/>
        <v>7.1217928675735536</v>
      </c>
      <c r="AA57" s="149">
        <f t="shared" si="11"/>
        <v>3.5608964337867768</v>
      </c>
      <c r="AB57" s="33">
        <f>VLOOKUP($B57,'Indicator Data (national)'!$B$5:$Z$14,25,FALSE)+VLOOKUP($B57,'Indicator Data (national)'!$B$5:$Z$14,24,FALSE)*0.5+VLOOKUP($B57,'Indicator Data (national)'!$B$5:$Z$14,23,FALSE)*0.25</f>
        <v>1063067</v>
      </c>
      <c r="AC57" s="39">
        <f>AB57/VLOOKUP($B57,'Indicator Data (national)'!$B$5:$AM$14,38,FALSE)</f>
        <v>2.3967948913203186E-2</v>
      </c>
      <c r="AD57" s="49">
        <f t="shared" si="12"/>
        <v>2.3967948913203188</v>
      </c>
      <c r="AE57" s="13">
        <f>IF('Indicator Data'!V59="No data","x",IF(('Indicator Data'!V59)&gt;AE$150,10,IF(('Indicator Data'!V59)&lt;AE$149,0,10-(AE$150-('Indicator Data'!V59))/(AE$150-AE$149)*10)))</f>
        <v>0</v>
      </c>
      <c r="AF57" s="49">
        <f t="shared" si="13"/>
        <v>0</v>
      </c>
      <c r="AG57" s="34">
        <f t="shared" si="14"/>
        <v>1.2711042119543197</v>
      </c>
      <c r="AH57" s="52">
        <f t="shared" si="16"/>
        <v>4.8457364982614042</v>
      </c>
    </row>
    <row r="58" spans="1:34" s="11" customFormat="1" x14ac:dyDescent="0.25">
      <c r="A58" s="16" t="s">
        <v>425</v>
      </c>
      <c r="B58" s="11" t="s">
        <v>576</v>
      </c>
      <c r="C58" s="126" t="s">
        <v>650</v>
      </c>
      <c r="D58" s="13">
        <f>IF('Indicator Data'!I60="No data","x",IF('Indicator Data'!I60&gt;D$150,0,IF('Indicator Data'!I60&lt;D$149,10,(D$150-'Indicator Data'!I60)/(D$150-D$149)*10)))</f>
        <v>6.5646153846153856</v>
      </c>
      <c r="E58" s="13">
        <f>IF('Indicator Data'!J60="No data","x",IF('Indicator Data'!J60&gt;E$150,10,IF('Indicator Data'!J60&lt;E$149,0,10-(E$150-'Indicator Data'!J60)/(E$150-E$149)*10)))</f>
        <v>3.9770549999999991</v>
      </c>
      <c r="F58" s="144">
        <f>IF(OR('Indicator Data'!AG60=0,'Indicator Data'!AG60="No data"),"x",IF('Indicator Data'!AG60&gt;F$150,0,IF('Indicator Data'!AG60&lt;F$149,10,(F$150-'Indicator Data'!AG60)/(F$150-F$149)*10)))</f>
        <v>5.61</v>
      </c>
      <c r="G58" s="144">
        <f>IF(OR('Indicator Data'!AE60=0,'Indicator Data'!AE60="No data"),"x",IF('Indicator Data'!AE60&gt;G$150,0,IF('Indicator Data'!AE60&lt;G$149,10,(G$150-'Indicator Data'!AE60)/(G$150-G$149)*10)))</f>
        <v>8.82</v>
      </c>
      <c r="H58" s="144">
        <f>IF(OR('Indicator Data'!AF60=0,'Indicator Data'!AF60="No data"),"x",IF('Indicator Data'!AF60&gt;H$150,0,IF('Indicator Data'!AF60&lt;H$149,10,(H$150-'Indicator Data'!AF60)/(H$150-H$149)*10)))</f>
        <v>8.0299999999999994</v>
      </c>
      <c r="I58" s="144">
        <f t="shared" si="15"/>
        <v>7.4866666666666672</v>
      </c>
      <c r="J58" s="49">
        <f t="shared" si="2"/>
        <v>5.415941612163131</v>
      </c>
      <c r="K58" s="13">
        <f>IF('Indicator Data'!K60="No data","x",IF('Indicator Data'!K60&gt;K$150,10,IF('Indicator Data'!K60&lt;K$149,0,10-(K$150-'Indicator Data'!K60)/(K$150-K$149)*10)))</f>
        <v>8.4453333333333322</v>
      </c>
      <c r="L58" s="13">
        <f>IF('Indicator Data'!L60="No data","x",IF('Indicator Data'!L60&gt;L$150,10,IF('Indicator Data'!L60&lt;L$149,0,10-(L$150-'Indicator Data'!L60)/(L$150-L$149)*10)))</f>
        <v>4.5</v>
      </c>
      <c r="M58" s="13">
        <f>IF('Indicator Data'!M60="No data","x",IF('Indicator Data'!M60&gt;M$150,10,IF('Indicator Data'!M60&lt;M$149,0,10-(M$150-'Indicator Data'!M60)/(M$150-M$149)*10)))</f>
        <v>1.3206480000000003</v>
      </c>
      <c r="N58" s="144"/>
      <c r="O58" s="49">
        <f t="shared" si="3"/>
        <v>4.7553271111111108</v>
      </c>
      <c r="P58" s="42">
        <f t="shared" si="4"/>
        <v>5.195736778479124</v>
      </c>
      <c r="Q58" s="33">
        <f>'Indicator Data'!AA60</f>
        <v>0</v>
      </c>
      <c r="R58" s="13">
        <f t="shared" si="5"/>
        <v>0</v>
      </c>
      <c r="S58" s="38">
        <f>Q58/'Indicator Data'!AN60</f>
        <v>0</v>
      </c>
      <c r="T58" s="13">
        <f t="shared" si="6"/>
        <v>0</v>
      </c>
      <c r="U58" s="14">
        <f t="shared" si="7"/>
        <v>0</v>
      </c>
      <c r="V58" s="33">
        <f>IF('Indicator Data'!Z60="",VLOOKUP($B58,'Indicator Data (national)'!$B$5:$AA$14,26,FALSE),'Indicator Data'!Z60)</f>
        <v>412000</v>
      </c>
      <c r="W58" s="13">
        <f t="shared" si="8"/>
        <v>8.7163240534437811</v>
      </c>
      <c r="X58" s="38">
        <f>IF('Indicator Data'!Z60="",V58/VLOOKUP($B58,'Indicator Data (national)'!$B$5:$AM$14,38,FALSE),V58/'Indicator Data'!AN60)</f>
        <v>9.2889676306758782E-3</v>
      </c>
      <c r="Y58" s="13">
        <f t="shared" si="9"/>
        <v>5.5272616817033251</v>
      </c>
      <c r="Z58" s="14">
        <f t="shared" si="10"/>
        <v>7.1217928675735536</v>
      </c>
      <c r="AA58" s="149">
        <f t="shared" si="11"/>
        <v>3.5608964337867768</v>
      </c>
      <c r="AB58" s="33">
        <f>VLOOKUP($B58,'Indicator Data (national)'!$B$5:$Z$14,25,FALSE)+VLOOKUP($B58,'Indicator Data (national)'!$B$5:$Z$14,24,FALSE)*0.5+VLOOKUP($B58,'Indicator Data (national)'!$B$5:$Z$14,23,FALSE)*0.25</f>
        <v>1063067</v>
      </c>
      <c r="AC58" s="39">
        <f>AB58/VLOOKUP($B58,'Indicator Data (national)'!$B$5:$AM$14,38,FALSE)</f>
        <v>2.3967948913203186E-2</v>
      </c>
      <c r="AD58" s="49">
        <f t="shared" si="12"/>
        <v>2.3967948913203188</v>
      </c>
      <c r="AE58" s="13">
        <f>IF('Indicator Data'!V60="No data","x",IF(('Indicator Data'!V60)&gt;AE$150,10,IF(('Indicator Data'!V60)&lt;AE$149,0,10-(AE$150-('Indicator Data'!V60))/(AE$150-AE$149)*10)))</f>
        <v>0</v>
      </c>
      <c r="AF58" s="49">
        <f t="shared" si="13"/>
        <v>0</v>
      </c>
      <c r="AG58" s="34">
        <f t="shared" si="14"/>
        <v>1.2711042119543197</v>
      </c>
      <c r="AH58" s="52">
        <f t="shared" si="16"/>
        <v>4.8457364982614042</v>
      </c>
    </row>
    <row r="59" spans="1:34" s="11" customFormat="1" x14ac:dyDescent="0.25">
      <c r="A59" s="16" t="s">
        <v>426</v>
      </c>
      <c r="B59" s="11" t="s">
        <v>576</v>
      </c>
      <c r="C59" s="126" t="s">
        <v>651</v>
      </c>
      <c r="D59" s="13">
        <f>IF('Indicator Data'!I61="No data","x",IF('Indicator Data'!I61&gt;D$150,0,IF('Indicator Data'!I61&lt;D$149,10,(D$150-'Indicator Data'!I61)/(D$150-D$149)*10)))</f>
        <v>7.2215384615384615</v>
      </c>
      <c r="E59" s="13">
        <f>IF('Indicator Data'!J61="No data","x",IF('Indicator Data'!J61&gt;E$150,10,IF('Indicator Data'!J61&lt;E$149,0,10-(E$150-'Indicator Data'!J61)/(E$150-E$149)*10)))</f>
        <v>4.1374849999999999</v>
      </c>
      <c r="F59" s="144">
        <f>IF(OR('Indicator Data'!AG61=0,'Indicator Data'!AG61="No data"),"x",IF('Indicator Data'!AG61&gt;F$150,0,IF('Indicator Data'!AG61&lt;F$149,10,(F$150-'Indicator Data'!AG61)/(F$150-F$149)*10)))</f>
        <v>5.81</v>
      </c>
      <c r="G59" s="144">
        <f>IF(OR('Indicator Data'!AE61=0,'Indicator Data'!AE61="No data"),"x",IF('Indicator Data'!AE61&gt;G$150,0,IF('Indicator Data'!AE61&lt;G$149,10,(G$150-'Indicator Data'!AE61)/(G$150-G$149)*10)))</f>
        <v>9.2799999999999994</v>
      </c>
      <c r="H59" s="144">
        <f>IF(OR('Indicator Data'!AF61=0,'Indicator Data'!AF61="No data"),"x",IF('Indicator Data'!AF61&gt;H$150,0,IF('Indicator Data'!AF61&lt;H$149,10,(H$150-'Indicator Data'!AF61)/(H$150-H$149)*10)))</f>
        <v>8.01</v>
      </c>
      <c r="I59" s="144">
        <f t="shared" si="15"/>
        <v>7.7</v>
      </c>
      <c r="J59" s="49">
        <f t="shared" si="2"/>
        <v>5.9029996117167807</v>
      </c>
      <c r="K59" s="13">
        <f>IF('Indicator Data'!K61="No data","x",IF('Indicator Data'!K61&gt;K$150,10,IF('Indicator Data'!K61&lt;K$149,0,10-(K$150-'Indicator Data'!K61)/(K$150-K$149)*10)))</f>
        <v>7.9106666666666676</v>
      </c>
      <c r="L59" s="13">
        <f>IF('Indicator Data'!L61="No data","x",IF('Indicator Data'!L61&gt;L$150,10,IF('Indicator Data'!L61&lt;L$149,0,10-(L$150-'Indicator Data'!L61)/(L$150-L$149)*10)))</f>
        <v>3.4499999999999984</v>
      </c>
      <c r="M59" s="13">
        <f>IF('Indicator Data'!M61="No data","x",IF('Indicator Data'!M61&gt;M$150,10,IF('Indicator Data'!M61&lt;M$149,0,10-(M$150-'Indicator Data'!M61)/(M$150-M$149)*10)))</f>
        <v>1.8867666666666665</v>
      </c>
      <c r="N59" s="144"/>
      <c r="O59" s="49">
        <f t="shared" si="3"/>
        <v>4.4158111111111111</v>
      </c>
      <c r="P59" s="42">
        <f t="shared" si="4"/>
        <v>5.4072701115148902</v>
      </c>
      <c r="Q59" s="33">
        <f>'Indicator Data'!AA61</f>
        <v>0</v>
      </c>
      <c r="R59" s="13">
        <f t="shared" si="5"/>
        <v>0</v>
      </c>
      <c r="S59" s="38">
        <f>Q59/'Indicator Data'!AN61</f>
        <v>0</v>
      </c>
      <c r="T59" s="13">
        <f t="shared" si="6"/>
        <v>0</v>
      </c>
      <c r="U59" s="14">
        <f t="shared" si="7"/>
        <v>0</v>
      </c>
      <c r="V59" s="33">
        <f>IF('Indicator Data'!Z61="",VLOOKUP($B59,'Indicator Data (national)'!$B$5:$AA$14,26,FALSE),'Indicator Data'!Z61)</f>
        <v>412000</v>
      </c>
      <c r="W59" s="13">
        <f t="shared" si="8"/>
        <v>8.7163240534437811</v>
      </c>
      <c r="X59" s="38">
        <f>IF('Indicator Data'!Z61="",V59/VLOOKUP($B59,'Indicator Data (national)'!$B$5:$AM$14,38,FALSE),V59/'Indicator Data'!AN61)</f>
        <v>9.2889676306758782E-3</v>
      </c>
      <c r="Y59" s="13">
        <f t="shared" si="9"/>
        <v>5.5272616817033251</v>
      </c>
      <c r="Z59" s="14">
        <f t="shared" si="10"/>
        <v>7.1217928675735536</v>
      </c>
      <c r="AA59" s="149">
        <f t="shared" si="11"/>
        <v>3.5608964337867768</v>
      </c>
      <c r="AB59" s="33">
        <f>VLOOKUP($B59,'Indicator Data (national)'!$B$5:$Z$14,25,FALSE)+VLOOKUP($B59,'Indicator Data (national)'!$B$5:$Z$14,24,FALSE)*0.5+VLOOKUP($B59,'Indicator Data (national)'!$B$5:$Z$14,23,FALSE)*0.25</f>
        <v>1063067</v>
      </c>
      <c r="AC59" s="39">
        <f>AB59/VLOOKUP($B59,'Indicator Data (national)'!$B$5:$AM$14,38,FALSE)</f>
        <v>2.3967948913203186E-2</v>
      </c>
      <c r="AD59" s="49">
        <f t="shared" si="12"/>
        <v>2.3967948913203188</v>
      </c>
      <c r="AE59" s="13">
        <f>IF('Indicator Data'!V61="No data","x",IF(('Indicator Data'!V61)&gt;AE$150,10,IF(('Indicator Data'!V61)&lt;AE$149,0,10-(AE$150-('Indicator Data'!V61))/(AE$150-AE$149)*10)))</f>
        <v>8.4210526315789469</v>
      </c>
      <c r="AF59" s="49">
        <f t="shared" si="13"/>
        <v>8.4210526315789469</v>
      </c>
      <c r="AG59" s="34">
        <f t="shared" si="14"/>
        <v>6.2694151024409166</v>
      </c>
      <c r="AH59" s="52">
        <f t="shared" si="16"/>
        <v>6.7162201890231721</v>
      </c>
    </row>
    <row r="60" spans="1:34" s="11" customFormat="1" x14ac:dyDescent="0.25">
      <c r="A60" s="16" t="s">
        <v>427</v>
      </c>
      <c r="B60" s="11" t="s">
        <v>576</v>
      </c>
      <c r="C60" s="126" t="s">
        <v>652</v>
      </c>
      <c r="D60" s="13">
        <f>IF('Indicator Data'!I62="No data","x",IF('Indicator Data'!I62&gt;D$150,0,IF('Indicator Data'!I62&lt;D$149,10,(D$150-'Indicator Data'!I62)/(D$150-D$149)*10)))</f>
        <v>7.9169230769230765</v>
      </c>
      <c r="E60" s="13">
        <f>IF('Indicator Data'!J62="No data","x",IF('Indicator Data'!J62&gt;E$150,10,IF('Indicator Data'!J62&lt;E$149,0,10-(E$150-'Indicator Data'!J62)/(E$150-E$149)*10)))</f>
        <v>4.2437783333333332</v>
      </c>
      <c r="F60" s="144">
        <f>IF(OR('Indicator Data'!AG62=0,'Indicator Data'!AG62="No data"),"x",IF('Indicator Data'!AG62&gt;F$150,0,IF('Indicator Data'!AG62&lt;F$149,10,(F$150-'Indicator Data'!AG62)/(F$150-F$149)*10)))</f>
        <v>4.49</v>
      </c>
      <c r="G60" s="144">
        <f>IF(OR('Indicator Data'!AE62=0,'Indicator Data'!AE62="No data"),"x",IF('Indicator Data'!AE62&gt;G$150,0,IF('Indicator Data'!AE62&lt;G$149,10,(G$150-'Indicator Data'!AE62)/(G$150-G$149)*10)))</f>
        <v>7.35</v>
      </c>
      <c r="H60" s="144">
        <f>IF(OR('Indicator Data'!AF62=0,'Indicator Data'!AF62="No data"),"x",IF('Indicator Data'!AF62&gt;H$150,0,IF('Indicator Data'!AF62&lt;H$149,10,(H$150-'Indicator Data'!AF62)/(H$150-H$149)*10)))</f>
        <v>7.8299999999999992</v>
      </c>
      <c r="I60" s="144">
        <f t="shared" si="15"/>
        <v>6.5566666666666658</v>
      </c>
      <c r="J60" s="49">
        <f t="shared" si="2"/>
        <v>6.4275705502143596</v>
      </c>
      <c r="K60" s="13">
        <f>IF('Indicator Data'!K62="No data","x",IF('Indicator Data'!K62&gt;K$150,10,IF('Indicator Data'!K62&lt;K$149,0,10-(K$150-'Indicator Data'!K62)/(K$150-K$149)*10)))</f>
        <v>8.4466666666666654</v>
      </c>
      <c r="L60" s="13">
        <f>IF('Indicator Data'!L62="No data","x",IF('Indicator Data'!L62&gt;L$150,10,IF('Indicator Data'!L62&lt;L$149,0,10-(L$150-'Indicator Data'!L62)/(L$150-L$149)*10)))</f>
        <v>8.6749999999999989</v>
      </c>
      <c r="M60" s="13">
        <f>IF('Indicator Data'!M62="No data","x",IF('Indicator Data'!M62&gt;M$150,10,IF('Indicator Data'!M62&lt;M$149,0,10-(M$150-'Indicator Data'!M62)/(M$150-M$149)*10)))</f>
        <v>2.7714226666666661</v>
      </c>
      <c r="N60" s="144"/>
      <c r="O60" s="49">
        <f t="shared" si="3"/>
        <v>6.6310297777777762</v>
      </c>
      <c r="P60" s="42">
        <f t="shared" si="4"/>
        <v>6.4953902927354976</v>
      </c>
      <c r="Q60" s="33">
        <f>'Indicator Data'!AA62</f>
        <v>0</v>
      </c>
      <c r="R60" s="13">
        <f t="shared" si="5"/>
        <v>0</v>
      </c>
      <c r="S60" s="38">
        <f>Q60/'Indicator Data'!AN62</f>
        <v>0</v>
      </c>
      <c r="T60" s="13">
        <f t="shared" si="6"/>
        <v>0</v>
      </c>
      <c r="U60" s="14">
        <f t="shared" si="7"/>
        <v>0</v>
      </c>
      <c r="V60" s="33">
        <f>IF('Indicator Data'!Z62="",VLOOKUP($B60,'Indicator Data (national)'!$B$5:$AA$14,26,FALSE),'Indicator Data'!Z62)</f>
        <v>412000</v>
      </c>
      <c r="W60" s="13">
        <f t="shared" si="8"/>
        <v>8.7163240534437811</v>
      </c>
      <c r="X60" s="38">
        <f>IF('Indicator Data'!Z62="",V60/VLOOKUP($B60,'Indicator Data (national)'!$B$5:$AM$14,38,FALSE),V60/'Indicator Data'!AN62)</f>
        <v>9.2889676306758782E-3</v>
      </c>
      <c r="Y60" s="13">
        <f t="shared" si="9"/>
        <v>5.5272616817033251</v>
      </c>
      <c r="Z60" s="14">
        <f t="shared" si="10"/>
        <v>7.1217928675735536</v>
      </c>
      <c r="AA60" s="149">
        <f t="shared" si="11"/>
        <v>3.5608964337867768</v>
      </c>
      <c r="AB60" s="33">
        <f>VLOOKUP($B60,'Indicator Data (national)'!$B$5:$Z$14,25,FALSE)+VLOOKUP($B60,'Indicator Data (national)'!$B$5:$Z$14,24,FALSE)*0.5+VLOOKUP($B60,'Indicator Data (national)'!$B$5:$Z$14,23,FALSE)*0.25</f>
        <v>1063067</v>
      </c>
      <c r="AC60" s="39">
        <f>AB60/VLOOKUP($B60,'Indicator Data (national)'!$B$5:$AM$14,38,FALSE)</f>
        <v>2.3967948913203186E-2</v>
      </c>
      <c r="AD60" s="49">
        <f t="shared" si="12"/>
        <v>2.3967948913203188</v>
      </c>
      <c r="AE60" s="13">
        <f>IF('Indicator Data'!V62="No data","x",IF(('Indicator Data'!V62)&gt;AE$150,10,IF(('Indicator Data'!V62)&lt;AE$149,0,10-(AE$150-('Indicator Data'!V62))/(AE$150-AE$149)*10)))</f>
        <v>6.3157894736842106</v>
      </c>
      <c r="AF60" s="49">
        <f t="shared" si="13"/>
        <v>6.3157894736842106</v>
      </c>
      <c r="AG60" s="34">
        <f t="shared" si="14"/>
        <v>4.6467511950681484</v>
      </c>
      <c r="AH60" s="52">
        <f t="shared" si="16"/>
        <v>6.0328841620802676</v>
      </c>
    </row>
    <row r="61" spans="1:34" s="11" customFormat="1" x14ac:dyDescent="0.25">
      <c r="A61" s="16" t="s">
        <v>428</v>
      </c>
      <c r="B61" s="11" t="s">
        <v>576</v>
      </c>
      <c r="C61" s="126" t="s">
        <v>653</v>
      </c>
      <c r="D61" s="13">
        <f>IF('Indicator Data'!I63="No data","x",IF('Indicator Data'!I63&gt;D$150,0,IF('Indicator Data'!I63&lt;D$149,10,(D$150-'Indicator Data'!I63)/(D$150-D$149)*10)))</f>
        <v>5.7830769230769219</v>
      </c>
      <c r="E61" s="13">
        <f>IF('Indicator Data'!J63="No data","x",IF('Indicator Data'!J63&gt;E$150,10,IF('Indicator Data'!J63&lt;E$149,0,10-(E$150-'Indicator Data'!J63)/(E$150-E$149)*10)))</f>
        <v>4.1633699999999996</v>
      </c>
      <c r="F61" s="144">
        <f>IF(OR('Indicator Data'!AG63=0,'Indicator Data'!AG63="No data"),"x",IF('Indicator Data'!AG63&gt;F$150,0,IF('Indicator Data'!AG63&lt;F$149,10,(F$150-'Indicator Data'!AG63)/(F$150-F$149)*10)))</f>
        <v>5.2200000000000006</v>
      </c>
      <c r="G61" s="144">
        <f>IF(OR('Indicator Data'!AE63=0,'Indicator Data'!AE63="No data"),"x",IF('Indicator Data'!AE63&gt;G$150,0,IF('Indicator Data'!AE63&lt;G$149,10,(G$150-'Indicator Data'!AE63)/(G$150-G$149)*10)))</f>
        <v>8.379999999999999</v>
      </c>
      <c r="H61" s="144">
        <f>IF(OR('Indicator Data'!AF63=0,'Indicator Data'!AF63="No data"),"x",IF('Indicator Data'!AF63&gt;H$150,0,IF('Indicator Data'!AF63&lt;H$149,10,(H$150-'Indicator Data'!AF63)/(H$150-H$149)*10)))</f>
        <v>7.7</v>
      </c>
      <c r="I61" s="144">
        <f t="shared" si="15"/>
        <v>7.1000000000000005</v>
      </c>
      <c r="J61" s="49">
        <f t="shared" si="2"/>
        <v>5.0268854274591117</v>
      </c>
      <c r="K61" s="13">
        <f>IF('Indicator Data'!K63="No data","x",IF('Indicator Data'!K63&gt;K$150,10,IF('Indicator Data'!K63&lt;K$149,0,10-(K$150-'Indicator Data'!K63)/(K$150-K$149)*10)))</f>
        <v>8.0559999999999992</v>
      </c>
      <c r="L61" s="13">
        <f>IF('Indicator Data'!L63="No data","x",IF('Indicator Data'!L63&gt;L$150,10,IF('Indicator Data'!L63&lt;L$149,0,10-(L$150-'Indicator Data'!L63)/(L$150-L$149)*10)))</f>
        <v>2.9749999999999996</v>
      </c>
      <c r="M61" s="13">
        <f>IF('Indicator Data'!M63="No data","x",IF('Indicator Data'!M63&gt;M$150,10,IF('Indicator Data'!M63&lt;M$149,0,10-(M$150-'Indicator Data'!M63)/(M$150-M$149)*10)))</f>
        <v>3.1759799999999991</v>
      </c>
      <c r="N61" s="144"/>
      <c r="O61" s="49">
        <f t="shared" si="3"/>
        <v>4.7356599999999993</v>
      </c>
      <c r="P61" s="42">
        <f t="shared" si="4"/>
        <v>4.9298102849727412</v>
      </c>
      <c r="Q61" s="33">
        <f>'Indicator Data'!AA63</f>
        <v>0</v>
      </c>
      <c r="R61" s="13">
        <f t="shared" si="5"/>
        <v>0</v>
      </c>
      <c r="S61" s="38">
        <f>Q61/'Indicator Data'!AN63</f>
        <v>0</v>
      </c>
      <c r="T61" s="13">
        <f t="shared" si="6"/>
        <v>0</v>
      </c>
      <c r="U61" s="14">
        <f t="shared" si="7"/>
        <v>0</v>
      </c>
      <c r="V61" s="33">
        <f>IF('Indicator Data'!Z63="",VLOOKUP($B61,'Indicator Data (national)'!$B$5:$AA$14,26,FALSE),'Indicator Data'!Z63)</f>
        <v>412000</v>
      </c>
      <c r="W61" s="13">
        <f t="shared" si="8"/>
        <v>8.7163240534437811</v>
      </c>
      <c r="X61" s="38">
        <f>IF('Indicator Data'!Z63="",V61/VLOOKUP($B61,'Indicator Data (national)'!$B$5:$AM$14,38,FALSE),V61/'Indicator Data'!AN63)</f>
        <v>9.2889676306758782E-3</v>
      </c>
      <c r="Y61" s="13">
        <f t="shared" si="9"/>
        <v>5.5272616817033251</v>
      </c>
      <c r="Z61" s="14">
        <f t="shared" si="10"/>
        <v>7.1217928675735536</v>
      </c>
      <c r="AA61" s="149">
        <f t="shared" si="11"/>
        <v>3.5608964337867768</v>
      </c>
      <c r="AB61" s="33">
        <f>VLOOKUP($B61,'Indicator Data (national)'!$B$5:$Z$14,25,FALSE)+VLOOKUP($B61,'Indicator Data (national)'!$B$5:$Z$14,24,FALSE)*0.5+VLOOKUP($B61,'Indicator Data (national)'!$B$5:$Z$14,23,FALSE)*0.25</f>
        <v>1063067</v>
      </c>
      <c r="AC61" s="39">
        <f>AB61/VLOOKUP($B61,'Indicator Data (national)'!$B$5:$AM$14,38,FALSE)</f>
        <v>2.3967948913203186E-2</v>
      </c>
      <c r="AD61" s="49">
        <f t="shared" si="12"/>
        <v>2.3967948913203188</v>
      </c>
      <c r="AE61" s="13">
        <f>IF('Indicator Data'!V63="No data","x",IF(('Indicator Data'!V63)&gt;AE$150,10,IF(('Indicator Data'!V63)&lt;AE$149,0,10-(AE$150-('Indicator Data'!V63))/(AE$150-AE$149)*10)))</f>
        <v>1.5789473684210531</v>
      </c>
      <c r="AF61" s="49">
        <f t="shared" si="13"/>
        <v>1.5789473684210531</v>
      </c>
      <c r="AG61" s="34">
        <f t="shared" si="14"/>
        <v>1.997040170382941</v>
      </c>
      <c r="AH61" s="52">
        <f t="shared" si="16"/>
        <v>5.0812745066298257</v>
      </c>
    </row>
    <row r="62" spans="1:34" s="11" customFormat="1" x14ac:dyDescent="0.25">
      <c r="A62" s="16" t="s">
        <v>429</v>
      </c>
      <c r="B62" s="11" t="s">
        <v>576</v>
      </c>
      <c r="C62" s="126" t="s">
        <v>654</v>
      </c>
      <c r="D62" s="13">
        <f>IF('Indicator Data'!I64="No data","x",IF('Indicator Data'!I64&gt;D$150,0,IF('Indicator Data'!I64&lt;D$149,10,(D$150-'Indicator Data'!I64)/(D$150-D$149)*10)))</f>
        <v>6.9430769230769238</v>
      </c>
      <c r="E62" s="13">
        <f>IF('Indicator Data'!J64="No data","x",IF('Indicator Data'!J64&gt;E$150,10,IF('Indicator Data'!J64&lt;E$149,0,10-(E$150-'Indicator Data'!J64)/(E$150-E$149)*10)))</f>
        <v>4.2437783333333332</v>
      </c>
      <c r="F62" s="144">
        <f>IF(OR('Indicator Data'!AG64=0,'Indicator Data'!AG64="No data"),"x",IF('Indicator Data'!AG64&gt;F$150,0,IF('Indicator Data'!AG64&lt;F$149,10,(F$150-'Indicator Data'!AG64)/(F$150-F$149)*10)))</f>
        <v>4.49</v>
      </c>
      <c r="G62" s="144">
        <f>IF(OR('Indicator Data'!AE64=0,'Indicator Data'!AE64="No data"),"x",IF('Indicator Data'!AE64&gt;G$150,0,IF('Indicator Data'!AE64&lt;G$149,10,(G$150-'Indicator Data'!AE64)/(G$150-G$149)*10)))</f>
        <v>7.35</v>
      </c>
      <c r="H62" s="144">
        <f>IF(OR('Indicator Data'!AF64=0,'Indicator Data'!AF64="No data"),"x",IF('Indicator Data'!AF64&gt;H$150,0,IF('Indicator Data'!AF64&lt;H$149,10,(H$150-'Indicator Data'!AF64)/(H$150-H$149)*10)))</f>
        <v>7.8299999999999992</v>
      </c>
      <c r="I62" s="144">
        <f t="shared" si="15"/>
        <v>6.5566666666666658</v>
      </c>
      <c r="J62" s="49">
        <f t="shared" si="2"/>
        <v>5.7610384201670373</v>
      </c>
      <c r="K62" s="13">
        <f>IF('Indicator Data'!K64="No data","x",IF('Indicator Data'!K64&gt;K$150,10,IF('Indicator Data'!K64&lt;K$149,0,10-(K$150-'Indicator Data'!K64)/(K$150-K$149)*10)))</f>
        <v>9.4773333333333341</v>
      </c>
      <c r="L62" s="13">
        <f>IF('Indicator Data'!L64="No data","x",IF('Indicator Data'!L64&gt;L$150,10,IF('Indicator Data'!L64&lt;L$149,0,10-(L$150-'Indicator Data'!L64)/(L$150-L$149)*10)))</f>
        <v>5.5250000000000004</v>
      </c>
      <c r="M62" s="13">
        <f>IF('Indicator Data'!M64="No data","x",IF('Indicator Data'!M64&gt;M$150,10,IF('Indicator Data'!M64&lt;M$149,0,10-(M$150-'Indicator Data'!M64)/(M$150-M$149)*10)))</f>
        <v>2.7714226666666661</v>
      </c>
      <c r="N62" s="144"/>
      <c r="O62" s="49">
        <f t="shared" si="3"/>
        <v>5.9245853333333329</v>
      </c>
      <c r="P62" s="42">
        <f t="shared" si="4"/>
        <v>5.8155540578891349</v>
      </c>
      <c r="Q62" s="33">
        <f>'Indicator Data'!AA64</f>
        <v>0</v>
      </c>
      <c r="R62" s="13">
        <f t="shared" si="5"/>
        <v>0</v>
      </c>
      <c r="S62" s="38">
        <f>Q62/'Indicator Data'!AN64</f>
        <v>0</v>
      </c>
      <c r="T62" s="13">
        <f t="shared" si="6"/>
        <v>0</v>
      </c>
      <c r="U62" s="14">
        <f t="shared" si="7"/>
        <v>0</v>
      </c>
      <c r="V62" s="33">
        <f>IF('Indicator Data'!Z64="",VLOOKUP($B62,'Indicator Data (national)'!$B$5:$AA$14,26,FALSE),'Indicator Data'!Z64)</f>
        <v>412000</v>
      </c>
      <c r="W62" s="13">
        <f t="shared" si="8"/>
        <v>8.7163240534437811</v>
      </c>
      <c r="X62" s="38">
        <f>IF('Indicator Data'!Z64="",V62/VLOOKUP($B62,'Indicator Data (national)'!$B$5:$AM$14,38,FALSE),V62/'Indicator Data'!AN64)</f>
        <v>9.2889676306758782E-3</v>
      </c>
      <c r="Y62" s="13">
        <f t="shared" si="9"/>
        <v>5.5272616817033251</v>
      </c>
      <c r="Z62" s="14">
        <f t="shared" si="10"/>
        <v>7.1217928675735536</v>
      </c>
      <c r="AA62" s="149">
        <f t="shared" si="11"/>
        <v>3.5608964337867768</v>
      </c>
      <c r="AB62" s="33">
        <f>VLOOKUP($B62,'Indicator Data (national)'!$B$5:$Z$14,25,FALSE)+VLOOKUP($B62,'Indicator Data (national)'!$B$5:$Z$14,24,FALSE)*0.5+VLOOKUP($B62,'Indicator Data (national)'!$B$5:$Z$14,23,FALSE)*0.25</f>
        <v>1063067</v>
      </c>
      <c r="AC62" s="39">
        <f>AB62/VLOOKUP($B62,'Indicator Data (national)'!$B$5:$AM$14,38,FALSE)</f>
        <v>2.3967948913203186E-2</v>
      </c>
      <c r="AD62" s="49">
        <f t="shared" si="12"/>
        <v>2.3967948913203188</v>
      </c>
      <c r="AE62" s="13">
        <f>IF('Indicator Data'!V64="No data","x",IF(('Indicator Data'!V64)&gt;AE$150,10,IF(('Indicator Data'!V64)&lt;AE$149,0,10-(AE$150-('Indicator Data'!V64))/(AE$150-AE$149)*10)))</f>
        <v>0</v>
      </c>
      <c r="AF62" s="49">
        <f t="shared" si="13"/>
        <v>0</v>
      </c>
      <c r="AG62" s="34">
        <f t="shared" si="14"/>
        <v>1.2711042119543197</v>
      </c>
      <c r="AH62" s="52">
        <f t="shared" si="16"/>
        <v>4.8457364982614042</v>
      </c>
    </row>
    <row r="63" spans="1:34" s="11" customFormat="1" x14ac:dyDescent="0.25">
      <c r="A63" s="16" t="s">
        <v>430</v>
      </c>
      <c r="B63" s="11" t="s">
        <v>576</v>
      </c>
      <c r="C63" s="126" t="s">
        <v>655</v>
      </c>
      <c r="D63" s="13">
        <f>IF('Indicator Data'!I65="No data","x",IF('Indicator Data'!I65&gt;D$150,0,IF('Indicator Data'!I65&lt;D$149,10,(D$150-'Indicator Data'!I65)/(D$150-D$149)*10)))</f>
        <v>6.3</v>
      </c>
      <c r="E63" s="13">
        <f>IF('Indicator Data'!J65="No data","x",IF('Indicator Data'!J65&gt;E$150,10,IF('Indicator Data'!J65&lt;E$149,0,10-(E$150-'Indicator Data'!J65)/(E$150-E$149)*10)))</f>
        <v>4.1374849999999999</v>
      </c>
      <c r="F63" s="144">
        <f>IF(OR('Indicator Data'!AG65=0,'Indicator Data'!AG65="No data"),"x",IF('Indicator Data'!AG65&gt;F$150,0,IF('Indicator Data'!AG65&lt;F$149,10,(F$150-'Indicator Data'!AG65)/(F$150-F$149)*10)))</f>
        <v>5.81</v>
      </c>
      <c r="G63" s="144">
        <f>IF(OR('Indicator Data'!AE65=0,'Indicator Data'!AE65="No data"),"x",IF('Indicator Data'!AE65&gt;G$150,0,IF('Indicator Data'!AE65&lt;G$149,10,(G$150-'Indicator Data'!AE65)/(G$150-G$149)*10)))</f>
        <v>9.2799999999999994</v>
      </c>
      <c r="H63" s="144">
        <f>IF(OR('Indicator Data'!AF65=0,'Indicator Data'!AF65="No data"),"x",IF('Indicator Data'!AF65&gt;H$150,0,IF('Indicator Data'!AF65&lt;H$149,10,(H$150-'Indicator Data'!AF65)/(H$150-H$149)*10)))</f>
        <v>8.01</v>
      </c>
      <c r="I63" s="144">
        <f t="shared" si="15"/>
        <v>7.7</v>
      </c>
      <c r="J63" s="49">
        <f t="shared" si="2"/>
        <v>5.3187980957517684</v>
      </c>
      <c r="K63" s="13">
        <f>IF('Indicator Data'!K65="No data","x",IF('Indicator Data'!K65&gt;K$150,10,IF('Indicator Data'!K65&lt;K$149,0,10-(K$150-'Indicator Data'!K65)/(K$150-K$149)*10)))</f>
        <v>8.2279999999999998</v>
      </c>
      <c r="L63" s="13">
        <f>IF('Indicator Data'!L65="No data","x",IF('Indicator Data'!L65&gt;L$150,10,IF('Indicator Data'!L65&lt;L$149,0,10-(L$150-'Indicator Data'!L65)/(L$150-L$149)*10)))</f>
        <v>3.8249999999999993</v>
      </c>
      <c r="M63" s="13">
        <f>IF('Indicator Data'!M65="No data","x",IF('Indicator Data'!M65&gt;M$150,10,IF('Indicator Data'!M65&lt;M$149,0,10-(M$150-'Indicator Data'!M65)/(M$150-M$149)*10)))</f>
        <v>1.8867666666666665</v>
      </c>
      <c r="N63" s="144"/>
      <c r="O63" s="49">
        <f t="shared" si="3"/>
        <v>4.6465888888888882</v>
      </c>
      <c r="P63" s="42">
        <f t="shared" si="4"/>
        <v>5.0947283601308087</v>
      </c>
      <c r="Q63" s="33">
        <f>'Indicator Data'!AA65</f>
        <v>0</v>
      </c>
      <c r="R63" s="13">
        <f t="shared" si="5"/>
        <v>0</v>
      </c>
      <c r="S63" s="38">
        <f>Q63/'Indicator Data'!AN65</f>
        <v>0</v>
      </c>
      <c r="T63" s="13">
        <f t="shared" si="6"/>
        <v>0</v>
      </c>
      <c r="U63" s="14">
        <f t="shared" si="7"/>
        <v>0</v>
      </c>
      <c r="V63" s="33">
        <f>IF('Indicator Data'!Z65="",VLOOKUP($B63,'Indicator Data (national)'!$B$5:$AA$14,26,FALSE),'Indicator Data'!Z65)</f>
        <v>412000</v>
      </c>
      <c r="W63" s="13">
        <f t="shared" si="8"/>
        <v>8.7163240534437811</v>
      </c>
      <c r="X63" s="38">
        <f>IF('Indicator Data'!Z65="",V63/VLOOKUP($B63,'Indicator Data (national)'!$B$5:$AM$14,38,FALSE),V63/'Indicator Data'!AN65)</f>
        <v>9.2889676306758782E-3</v>
      </c>
      <c r="Y63" s="13">
        <f t="shared" si="9"/>
        <v>5.5272616817033251</v>
      </c>
      <c r="Z63" s="14">
        <f t="shared" si="10"/>
        <v>7.1217928675735536</v>
      </c>
      <c r="AA63" s="149">
        <f t="shared" si="11"/>
        <v>3.5608964337867768</v>
      </c>
      <c r="AB63" s="33">
        <f>VLOOKUP($B63,'Indicator Data (national)'!$B$5:$Z$14,25,FALSE)+VLOOKUP($B63,'Indicator Data (national)'!$B$5:$Z$14,24,FALSE)*0.5+VLOOKUP($B63,'Indicator Data (national)'!$B$5:$Z$14,23,FALSE)*0.25</f>
        <v>1063067</v>
      </c>
      <c r="AC63" s="39">
        <f>AB63/VLOOKUP($B63,'Indicator Data (national)'!$B$5:$AM$14,38,FALSE)</f>
        <v>2.3967948913203186E-2</v>
      </c>
      <c r="AD63" s="49">
        <f t="shared" si="12"/>
        <v>2.3967948913203188</v>
      </c>
      <c r="AE63" s="13">
        <f>IF('Indicator Data'!V65="No data","x",IF(('Indicator Data'!V65)&gt;AE$150,10,IF(('Indicator Data'!V65)&lt;AE$149,0,10-(AE$150-('Indicator Data'!V65))/(AE$150-AE$149)*10)))</f>
        <v>0</v>
      </c>
      <c r="AF63" s="49">
        <f t="shared" si="13"/>
        <v>0</v>
      </c>
      <c r="AG63" s="34">
        <f t="shared" si="14"/>
        <v>1.2711042119543197</v>
      </c>
      <c r="AH63" s="52">
        <f t="shared" si="16"/>
        <v>4.8457364982614042</v>
      </c>
    </row>
    <row r="64" spans="1:34" s="11" customFormat="1" x14ac:dyDescent="0.25">
      <c r="A64" s="16" t="s">
        <v>431</v>
      </c>
      <c r="B64" s="11" t="s">
        <v>576</v>
      </c>
      <c r="C64" s="126" t="s">
        <v>656</v>
      </c>
      <c r="D64" s="13">
        <f>IF('Indicator Data'!I66="No data","x",IF('Indicator Data'!I66&gt;D$150,0,IF('Indicator Data'!I66&lt;D$149,10,(D$150-'Indicator Data'!I66)/(D$150-D$149)*10)))</f>
        <v>7.2292307692307691</v>
      </c>
      <c r="E64" s="13">
        <f>IF('Indicator Data'!J66="No data","x",IF('Indicator Data'!J66&gt;E$150,10,IF('Indicator Data'!J66&lt;E$149,0,10-(E$150-'Indicator Data'!J66)/(E$150-E$149)*10)))</f>
        <v>4.1374849999999999</v>
      </c>
      <c r="F64" s="144">
        <f>IF(OR('Indicator Data'!AG66=0,'Indicator Data'!AG66="No data"),"x",IF('Indicator Data'!AG66&gt;F$150,0,IF('Indicator Data'!AG66&lt;F$149,10,(F$150-'Indicator Data'!AG66)/(F$150-F$149)*10)))</f>
        <v>5.81</v>
      </c>
      <c r="G64" s="144">
        <f>IF(OR('Indicator Data'!AE66=0,'Indicator Data'!AE66="No data"),"x",IF('Indicator Data'!AE66&gt;G$150,0,IF('Indicator Data'!AE66&lt;G$149,10,(G$150-'Indicator Data'!AE66)/(G$150-G$149)*10)))</f>
        <v>9.2799999999999994</v>
      </c>
      <c r="H64" s="144">
        <f>IF(OR('Indicator Data'!AF66=0,'Indicator Data'!AF66="No data"),"x",IF('Indicator Data'!AF66&gt;H$150,0,IF('Indicator Data'!AF66&lt;H$149,10,(H$150-'Indicator Data'!AF66)/(H$150-H$149)*10)))</f>
        <v>8.01</v>
      </c>
      <c r="I64" s="144">
        <f t="shared" si="15"/>
        <v>7.7</v>
      </c>
      <c r="J64" s="49">
        <f t="shared" si="2"/>
        <v>5.9081521344954311</v>
      </c>
      <c r="K64" s="13">
        <f>IF('Indicator Data'!K66="No data","x",IF('Indicator Data'!K66&gt;K$150,10,IF('Indicator Data'!K66&lt;K$149,0,10-(K$150-'Indicator Data'!K66)/(K$150-K$149)*10)))</f>
        <v>7.38</v>
      </c>
      <c r="L64" s="13">
        <f>IF('Indicator Data'!L66="No data","x",IF('Indicator Data'!L66&gt;L$150,10,IF('Indicator Data'!L66&lt;L$149,0,10-(L$150-'Indicator Data'!L66)/(L$150-L$149)*10)))</f>
        <v>3.1499999999999995</v>
      </c>
      <c r="M64" s="13">
        <f>IF('Indicator Data'!M66="No data","x",IF('Indicator Data'!M66&gt;M$150,10,IF('Indicator Data'!M66&lt;M$149,0,10-(M$150-'Indicator Data'!M66)/(M$150-M$149)*10)))</f>
        <v>1.8867666666666665</v>
      </c>
      <c r="N64" s="144"/>
      <c r="O64" s="49">
        <f t="shared" si="3"/>
        <v>4.1389222222222219</v>
      </c>
      <c r="P64" s="42">
        <f t="shared" si="4"/>
        <v>5.3184088304043611</v>
      </c>
      <c r="Q64" s="33">
        <f>'Indicator Data'!AA66</f>
        <v>0</v>
      </c>
      <c r="R64" s="13">
        <f t="shared" si="5"/>
        <v>0</v>
      </c>
      <c r="S64" s="38">
        <f>Q64/'Indicator Data'!AN66</f>
        <v>0</v>
      </c>
      <c r="T64" s="13">
        <f t="shared" si="6"/>
        <v>0</v>
      </c>
      <c r="U64" s="14">
        <f t="shared" si="7"/>
        <v>0</v>
      </c>
      <c r="V64" s="33">
        <f>IF('Indicator Data'!Z66="",VLOOKUP($B64,'Indicator Data (national)'!$B$5:$AA$14,26,FALSE),'Indicator Data'!Z66)</f>
        <v>412000</v>
      </c>
      <c r="W64" s="13">
        <f t="shared" si="8"/>
        <v>8.7163240534437811</v>
      </c>
      <c r="X64" s="38">
        <f>IF('Indicator Data'!Z66="",V64/VLOOKUP($B64,'Indicator Data (national)'!$B$5:$AM$14,38,FALSE),V64/'Indicator Data'!AN66)</f>
        <v>9.2889676306758782E-3</v>
      </c>
      <c r="Y64" s="13">
        <f t="shared" si="9"/>
        <v>5.5272616817033251</v>
      </c>
      <c r="Z64" s="14">
        <f t="shared" si="10"/>
        <v>7.1217928675735536</v>
      </c>
      <c r="AA64" s="149">
        <f t="shared" si="11"/>
        <v>3.5608964337867768</v>
      </c>
      <c r="AB64" s="33">
        <f>VLOOKUP($B64,'Indicator Data (national)'!$B$5:$Z$14,25,FALSE)+VLOOKUP($B64,'Indicator Data (national)'!$B$5:$Z$14,24,FALSE)*0.5+VLOOKUP($B64,'Indicator Data (national)'!$B$5:$Z$14,23,FALSE)*0.25</f>
        <v>1063067</v>
      </c>
      <c r="AC64" s="39">
        <f>AB64/VLOOKUP($B64,'Indicator Data (national)'!$B$5:$AM$14,38,FALSE)</f>
        <v>2.3967948913203186E-2</v>
      </c>
      <c r="AD64" s="49">
        <f t="shared" si="12"/>
        <v>2.3967948913203188</v>
      </c>
      <c r="AE64" s="13">
        <f>IF('Indicator Data'!V66="No data","x",IF(('Indicator Data'!V66)&gt;AE$150,10,IF(('Indicator Data'!V66)&lt;AE$149,0,10-(AE$150-('Indicator Data'!V66))/(AE$150-AE$149)*10)))</f>
        <v>1.0526315789473681</v>
      </c>
      <c r="AF64" s="49">
        <f t="shared" si="13"/>
        <v>1.0526315789473681</v>
      </c>
      <c r="AG64" s="34">
        <f t="shared" si="14"/>
        <v>1.7488052341613405</v>
      </c>
      <c r="AH64" s="52">
        <f t="shared" si="16"/>
        <v>4.9997104830640016</v>
      </c>
    </row>
    <row r="65" spans="1:34" s="11" customFormat="1" x14ac:dyDescent="0.25">
      <c r="A65" s="16" t="s">
        <v>432</v>
      </c>
      <c r="B65" s="11" t="s">
        <v>576</v>
      </c>
      <c r="C65" s="126" t="s">
        <v>657</v>
      </c>
      <c r="D65" s="13">
        <f>IF('Indicator Data'!I67="No data","x",IF('Indicator Data'!I67&gt;D$150,0,IF('Indicator Data'!I67&lt;D$149,10,(D$150-'Indicator Data'!I67)/(D$150-D$149)*10)))</f>
        <v>8.1323076923076929</v>
      </c>
      <c r="E65" s="13">
        <f>IF('Indicator Data'!J67="No data","x",IF('Indicator Data'!J67&gt;E$150,10,IF('Indicator Data'!J67&lt;E$149,0,10-(E$150-'Indicator Data'!J67)/(E$150-E$149)*10)))</f>
        <v>8.6053950000000015</v>
      </c>
      <c r="F65" s="144">
        <f>IF(OR('Indicator Data'!AG67=0,'Indicator Data'!AG67="No data"),"x",IF('Indicator Data'!AG67&gt;F$150,0,IF('Indicator Data'!AG67&lt;F$149,10,(F$150-'Indicator Data'!AG67)/(F$150-F$149)*10)))</f>
        <v>5.7600000000000007</v>
      </c>
      <c r="G65" s="144">
        <f>IF(OR('Indicator Data'!AE67=0,'Indicator Data'!AE67="No data"),"x",IF('Indicator Data'!AE67&gt;G$150,0,IF('Indicator Data'!AE67&lt;G$149,10,(G$150-'Indicator Data'!AE67)/(G$150-G$149)*10)))</f>
        <v>9.01</v>
      </c>
      <c r="H65" s="144">
        <f>IF(OR('Indicator Data'!AF67=0,'Indicator Data'!AF67="No data"),"x",IF('Indicator Data'!AF67&gt;H$150,0,IF('Indicator Data'!AF67&lt;H$149,10,(H$150-'Indicator Data'!AF67)/(H$150-H$149)*10)))</f>
        <v>9.15</v>
      </c>
      <c r="I65" s="144">
        <f t="shared" si="15"/>
        <v>7.9733333333333336</v>
      </c>
      <c r="J65" s="49">
        <f t="shared" si="2"/>
        <v>8.3790723635219457</v>
      </c>
      <c r="K65" s="13">
        <f>IF('Indicator Data'!K67="No data","x",IF('Indicator Data'!K67&gt;K$150,10,IF('Indicator Data'!K67&lt;K$149,0,10-(K$150-'Indicator Data'!K67)/(K$150-K$149)*10)))</f>
        <v>9.1466666666666683</v>
      </c>
      <c r="L65" s="13">
        <f>IF('Indicator Data'!L67="No data","x",IF('Indicator Data'!L67&gt;L$150,10,IF('Indicator Data'!L67&lt;L$149,0,10-(L$150-'Indicator Data'!L67)/(L$150-L$149)*10)))</f>
        <v>2.0500000000000007</v>
      </c>
      <c r="M65" s="13">
        <f>IF('Indicator Data'!M67="No data","x",IF('Indicator Data'!M67&gt;M$150,10,IF('Indicator Data'!M67&lt;M$149,0,10-(M$150-'Indicator Data'!M67)/(M$150-M$149)*10)))</f>
        <v>3.0395586666666663</v>
      </c>
      <c r="N65" s="144"/>
      <c r="O65" s="49">
        <f t="shared" si="3"/>
        <v>4.7454084444444451</v>
      </c>
      <c r="P65" s="42">
        <f t="shared" si="4"/>
        <v>7.1678510571627783</v>
      </c>
      <c r="Q65" s="33">
        <f>'Indicator Data'!AA67</f>
        <v>0</v>
      </c>
      <c r="R65" s="13">
        <f t="shared" si="5"/>
        <v>0</v>
      </c>
      <c r="S65" s="38">
        <f>Q65/'Indicator Data'!AN67</f>
        <v>0</v>
      </c>
      <c r="T65" s="13">
        <f t="shared" si="6"/>
        <v>0</v>
      </c>
      <c r="U65" s="14">
        <f t="shared" si="7"/>
        <v>0</v>
      </c>
      <c r="V65" s="33">
        <f>IF('Indicator Data'!Z67="",VLOOKUP($B65,'Indicator Data (national)'!$B$5:$AA$14,26,FALSE),'Indicator Data'!Z67)</f>
        <v>412000</v>
      </c>
      <c r="W65" s="13">
        <f t="shared" si="8"/>
        <v>8.7163240534437811</v>
      </c>
      <c r="X65" s="38">
        <f>IF('Indicator Data'!Z67="",V65/VLOOKUP($B65,'Indicator Data (national)'!$B$5:$AM$14,38,FALSE),V65/'Indicator Data'!AN67)</f>
        <v>9.2889676306758782E-3</v>
      </c>
      <c r="Y65" s="13">
        <f t="shared" si="9"/>
        <v>5.5272616817033251</v>
      </c>
      <c r="Z65" s="14">
        <f t="shared" si="10"/>
        <v>7.1217928675735536</v>
      </c>
      <c r="AA65" s="149">
        <f t="shared" si="11"/>
        <v>3.5608964337867768</v>
      </c>
      <c r="AB65" s="33">
        <f>VLOOKUP($B65,'Indicator Data (national)'!$B$5:$Z$14,25,FALSE)+VLOOKUP($B65,'Indicator Data (national)'!$B$5:$Z$14,24,FALSE)*0.5+VLOOKUP($B65,'Indicator Data (national)'!$B$5:$Z$14,23,FALSE)*0.25</f>
        <v>1063067</v>
      </c>
      <c r="AC65" s="39">
        <f>AB65/VLOOKUP($B65,'Indicator Data (national)'!$B$5:$AM$14,38,FALSE)</f>
        <v>2.3967948913203186E-2</v>
      </c>
      <c r="AD65" s="49">
        <f t="shared" si="12"/>
        <v>2.3967948913203188</v>
      </c>
      <c r="AE65" s="13">
        <f>IF('Indicator Data'!V67="No data","x",IF(('Indicator Data'!V67)&gt;AE$150,10,IF(('Indicator Data'!V67)&lt;AE$149,0,10-(AE$150-('Indicator Data'!V67))/(AE$150-AE$149)*10)))</f>
        <v>10</v>
      </c>
      <c r="AF65" s="49">
        <f t="shared" si="13"/>
        <v>10</v>
      </c>
      <c r="AG65" s="34">
        <f t="shared" si="14"/>
        <v>7.999427711800486</v>
      </c>
      <c r="AH65" s="52">
        <f t="shared" si="16"/>
        <v>7.587832048507237</v>
      </c>
    </row>
    <row r="66" spans="1:34" s="11" customFormat="1" x14ac:dyDescent="0.25">
      <c r="A66" s="16" t="s">
        <v>433</v>
      </c>
      <c r="B66" s="11" t="s">
        <v>576</v>
      </c>
      <c r="C66" s="126" t="s">
        <v>658</v>
      </c>
      <c r="D66" s="13">
        <f>IF('Indicator Data'!I68="No data","x",IF('Indicator Data'!I68&gt;D$150,0,IF('Indicator Data'!I68&lt;D$149,10,(D$150-'Indicator Data'!I68)/(D$150-D$149)*10)))</f>
        <v>7.884615384615385</v>
      </c>
      <c r="E66" s="13">
        <f>IF('Indicator Data'!J68="No data","x",IF('Indicator Data'!J68&gt;E$150,10,IF('Indicator Data'!J68&lt;E$149,0,10-(E$150-'Indicator Data'!J68)/(E$150-E$149)*10)))</f>
        <v>4.1374849999999999</v>
      </c>
      <c r="F66" s="144">
        <f>IF(OR('Indicator Data'!AG68=0,'Indicator Data'!AG68="No data"),"x",IF('Indicator Data'!AG68&gt;F$150,0,IF('Indicator Data'!AG68&lt;F$149,10,(F$150-'Indicator Data'!AG68)/(F$150-F$149)*10)))</f>
        <v>5.81</v>
      </c>
      <c r="G66" s="144">
        <f>IF(OR('Indicator Data'!AE68=0,'Indicator Data'!AE68="No data"),"x",IF('Indicator Data'!AE68&gt;G$150,0,IF('Indicator Data'!AE68&lt;G$149,10,(G$150-'Indicator Data'!AE68)/(G$150-G$149)*10)))</f>
        <v>9.2799999999999994</v>
      </c>
      <c r="H66" s="144">
        <f>IF(OR('Indicator Data'!AF68=0,'Indicator Data'!AF68="No data"),"x",IF('Indicator Data'!AF68&gt;H$150,0,IF('Indicator Data'!AF68&lt;H$149,10,(H$150-'Indicator Data'!AF68)/(H$150-H$149)*10)))</f>
        <v>8.01</v>
      </c>
      <c r="I66" s="144">
        <f t="shared" si="15"/>
        <v>7.7</v>
      </c>
      <c r="J66" s="49">
        <f t="shared" si="2"/>
        <v>6.3676551088192159</v>
      </c>
      <c r="K66" s="13">
        <f>IF('Indicator Data'!K68="No data","x",IF('Indicator Data'!K68&gt;K$150,10,IF('Indicator Data'!K68&lt;K$149,0,10-(K$150-'Indicator Data'!K68)/(K$150-K$149)*10)))</f>
        <v>9.2346666666666657</v>
      </c>
      <c r="L66" s="13">
        <f>IF('Indicator Data'!L68="No data","x",IF('Indicator Data'!L68&gt;L$150,10,IF('Indicator Data'!L68&lt;L$149,0,10-(L$150-'Indicator Data'!L68)/(L$150-L$149)*10)))</f>
        <v>2.875</v>
      </c>
      <c r="M66" s="13">
        <f>IF('Indicator Data'!M68="No data","x",IF('Indicator Data'!M68&gt;M$150,10,IF('Indicator Data'!M68&lt;M$149,0,10-(M$150-'Indicator Data'!M68)/(M$150-M$149)*10)))</f>
        <v>1.8867666666666665</v>
      </c>
      <c r="N66" s="144"/>
      <c r="O66" s="49">
        <f t="shared" si="3"/>
        <v>4.6654777777777774</v>
      </c>
      <c r="P66" s="42">
        <f t="shared" si="4"/>
        <v>5.8002626651387361</v>
      </c>
      <c r="Q66" s="33">
        <f>'Indicator Data'!AA68</f>
        <v>0</v>
      </c>
      <c r="R66" s="13">
        <f t="shared" si="5"/>
        <v>0</v>
      </c>
      <c r="S66" s="38">
        <f>Q66/'Indicator Data'!AN68</f>
        <v>0</v>
      </c>
      <c r="T66" s="13">
        <f t="shared" si="6"/>
        <v>0</v>
      </c>
      <c r="U66" s="14">
        <f t="shared" si="7"/>
        <v>0</v>
      </c>
      <c r="V66" s="33">
        <f>IF('Indicator Data'!Z68="",VLOOKUP($B66,'Indicator Data (national)'!$B$5:$AA$14,26,FALSE),'Indicator Data'!Z68)</f>
        <v>412000</v>
      </c>
      <c r="W66" s="13">
        <f t="shared" si="8"/>
        <v>8.7163240534437811</v>
      </c>
      <c r="X66" s="38">
        <f>IF('Indicator Data'!Z68="",V66/VLOOKUP($B66,'Indicator Data (national)'!$B$5:$AM$14,38,FALSE),V66/'Indicator Data'!AN68)</f>
        <v>9.2889676306758782E-3</v>
      </c>
      <c r="Y66" s="13">
        <f t="shared" si="9"/>
        <v>5.5272616817033251</v>
      </c>
      <c r="Z66" s="14">
        <f t="shared" si="10"/>
        <v>7.1217928675735536</v>
      </c>
      <c r="AA66" s="149">
        <f t="shared" si="11"/>
        <v>3.5608964337867768</v>
      </c>
      <c r="AB66" s="33">
        <f>VLOOKUP($B66,'Indicator Data (national)'!$B$5:$Z$14,25,FALSE)+VLOOKUP($B66,'Indicator Data (national)'!$B$5:$Z$14,24,FALSE)*0.5+VLOOKUP($B66,'Indicator Data (national)'!$B$5:$Z$14,23,FALSE)*0.25</f>
        <v>1063067</v>
      </c>
      <c r="AC66" s="39">
        <f>AB66/VLOOKUP($B66,'Indicator Data (national)'!$B$5:$AM$14,38,FALSE)</f>
        <v>2.3967948913203186E-2</v>
      </c>
      <c r="AD66" s="49">
        <f t="shared" si="12"/>
        <v>2.3967948913203188</v>
      </c>
      <c r="AE66" s="13">
        <f>IF('Indicator Data'!V68="No data","x",IF(('Indicator Data'!V68)&gt;AE$150,10,IF(('Indicator Data'!V68)&lt;AE$149,0,10-(AE$150-('Indicator Data'!V68))/(AE$150-AE$149)*10)))</f>
        <v>10</v>
      </c>
      <c r="AF66" s="49">
        <f t="shared" si="13"/>
        <v>10</v>
      </c>
      <c r="AG66" s="34">
        <f t="shared" si="14"/>
        <v>7.999427711800486</v>
      </c>
      <c r="AH66" s="52">
        <f t="shared" si="16"/>
        <v>7.587832048507237</v>
      </c>
    </row>
    <row r="67" spans="1:34" s="11" customFormat="1" x14ac:dyDescent="0.25">
      <c r="A67" s="16" t="s">
        <v>434</v>
      </c>
      <c r="B67" s="11" t="s">
        <v>576</v>
      </c>
      <c r="C67" s="126" t="s">
        <v>659</v>
      </c>
      <c r="D67" s="13">
        <f>IF('Indicator Data'!I69="No data","x",IF('Indicator Data'!I69&gt;D$150,0,IF('Indicator Data'!I69&lt;D$149,10,(D$150-'Indicator Data'!I69)/(D$150-D$149)*10)))</f>
        <v>6.1415384615384632</v>
      </c>
      <c r="E67" s="13">
        <f>IF('Indicator Data'!J69="No data","x",IF('Indicator Data'!J69&gt;E$150,10,IF('Indicator Data'!J69&lt;E$149,0,10-(E$150-'Indicator Data'!J69)/(E$150-E$149)*10)))</f>
        <v>4.1374849999999999</v>
      </c>
      <c r="F67" s="144">
        <f>IF(OR('Indicator Data'!AG69=0,'Indicator Data'!AG69="No data"),"x",IF('Indicator Data'!AG69&gt;F$150,0,IF('Indicator Data'!AG69&lt;F$149,10,(F$150-'Indicator Data'!AG69)/(F$150-F$149)*10)))</f>
        <v>5.81</v>
      </c>
      <c r="G67" s="144">
        <f>IF(OR('Indicator Data'!AE69=0,'Indicator Data'!AE69="No data"),"x",IF('Indicator Data'!AE69&gt;G$150,0,IF('Indicator Data'!AE69&lt;G$149,10,(G$150-'Indicator Data'!AE69)/(G$150-G$149)*10)))</f>
        <v>9.2799999999999994</v>
      </c>
      <c r="H67" s="144">
        <f>IF(OR('Indicator Data'!AF69=0,'Indicator Data'!AF69="No data"),"x",IF('Indicator Data'!AF69&gt;H$150,0,IF('Indicator Data'!AF69&lt;H$149,10,(H$150-'Indicator Data'!AF69)/(H$150-H$149)*10)))</f>
        <v>8.01</v>
      </c>
      <c r="I67" s="144">
        <f t="shared" ref="I67:I98" si="17">AVERAGE(F67:H67)</f>
        <v>7.7</v>
      </c>
      <c r="J67" s="49">
        <f t="shared" si="2"/>
        <v>5.2241813858533481</v>
      </c>
      <c r="K67" s="13">
        <f>IF('Indicator Data'!K69="No data","x",IF('Indicator Data'!K69&gt;K$150,10,IF('Indicator Data'!K69&lt;K$149,0,10-(K$150-'Indicator Data'!K69)/(K$150-K$149)*10)))</f>
        <v>8.516</v>
      </c>
      <c r="L67" s="13">
        <f>IF('Indicator Data'!L69="No data","x",IF('Indicator Data'!L69&gt;L$150,10,IF('Indicator Data'!L69&lt;L$149,0,10-(L$150-'Indicator Data'!L69)/(L$150-L$149)*10)))</f>
        <v>2.4499999999999993</v>
      </c>
      <c r="M67" s="13">
        <f>IF('Indicator Data'!M69="No data","x",IF('Indicator Data'!M69&gt;M$150,10,IF('Indicator Data'!M69&lt;M$149,0,10-(M$150-'Indicator Data'!M69)/(M$150-M$149)*10)))</f>
        <v>1.8867666666666665</v>
      </c>
      <c r="N67" s="144"/>
      <c r="O67" s="49">
        <f t="shared" si="3"/>
        <v>4.2842555555555553</v>
      </c>
      <c r="P67" s="42">
        <f t="shared" si="4"/>
        <v>4.9108727757540835</v>
      </c>
      <c r="Q67" s="33">
        <f>'Indicator Data'!AA69</f>
        <v>0</v>
      </c>
      <c r="R67" s="13">
        <f t="shared" si="5"/>
        <v>0</v>
      </c>
      <c r="S67" s="38">
        <f>Q67/'Indicator Data'!AN69</f>
        <v>0</v>
      </c>
      <c r="T67" s="13">
        <f t="shared" si="6"/>
        <v>0</v>
      </c>
      <c r="U67" s="14">
        <f t="shared" si="7"/>
        <v>0</v>
      </c>
      <c r="V67" s="33">
        <f>IF('Indicator Data'!Z69="",VLOOKUP($B67,'Indicator Data (national)'!$B$5:$AA$14,26,FALSE),'Indicator Data'!Z69)</f>
        <v>412000</v>
      </c>
      <c r="W67" s="13">
        <f t="shared" si="8"/>
        <v>8.7163240534437811</v>
      </c>
      <c r="X67" s="38">
        <f>IF('Indicator Data'!Z69="",V67/VLOOKUP($B67,'Indicator Data (national)'!$B$5:$AM$14,38,FALSE),V67/'Indicator Data'!AN69)</f>
        <v>9.2889676306758782E-3</v>
      </c>
      <c r="Y67" s="13">
        <f t="shared" si="9"/>
        <v>5.5272616817033251</v>
      </c>
      <c r="Z67" s="14">
        <f t="shared" si="10"/>
        <v>7.1217928675735536</v>
      </c>
      <c r="AA67" s="149">
        <f t="shared" si="11"/>
        <v>3.5608964337867768</v>
      </c>
      <c r="AB67" s="33">
        <f>VLOOKUP($B67,'Indicator Data (national)'!$B$5:$Z$14,25,FALSE)+VLOOKUP($B67,'Indicator Data (national)'!$B$5:$Z$14,24,FALSE)*0.5+VLOOKUP($B67,'Indicator Data (national)'!$B$5:$Z$14,23,FALSE)*0.25</f>
        <v>1063067</v>
      </c>
      <c r="AC67" s="39">
        <f>AB67/VLOOKUP($B67,'Indicator Data (national)'!$B$5:$AM$14,38,FALSE)</f>
        <v>2.3967948913203186E-2</v>
      </c>
      <c r="AD67" s="49">
        <f t="shared" si="12"/>
        <v>2.3967948913203188</v>
      </c>
      <c r="AE67" s="13">
        <f>IF('Indicator Data'!V69="No data","x",IF(('Indicator Data'!V69)&gt;AE$150,10,IF(('Indicator Data'!V69)&lt;AE$149,0,10-(AE$150-('Indicator Data'!V69))/(AE$150-AE$149)*10)))</f>
        <v>2.1052631578947363</v>
      </c>
      <c r="AF67" s="49">
        <f t="shared" si="13"/>
        <v>2.1052631578947363</v>
      </c>
      <c r="AG67" s="34">
        <f t="shared" si="14"/>
        <v>2.2522281740990655</v>
      </c>
      <c r="AH67" s="52">
        <f t="shared" ref="AH67:AH98" si="18">(10-GEOMEAN(((10-Z67)/10*9+1),((10-AG67)/10*9+1)))/9*10</f>
        <v>5.1662895563471896</v>
      </c>
    </row>
    <row r="68" spans="1:34" s="11" customFormat="1" x14ac:dyDescent="0.25">
      <c r="A68" s="16" t="s">
        <v>435</v>
      </c>
      <c r="B68" s="11" t="s">
        <v>576</v>
      </c>
      <c r="C68" s="126" t="s">
        <v>660</v>
      </c>
      <c r="D68" s="13">
        <f>IF('Indicator Data'!I70="No data","x",IF('Indicator Data'!I70&gt;D$150,0,IF('Indicator Data'!I70&lt;D$149,10,(D$150-'Indicator Data'!I70)/(D$150-D$149)*10)))</f>
        <v>7.7615384615384624</v>
      </c>
      <c r="E68" s="13">
        <f>IF('Indicator Data'!J70="No data","x",IF('Indicator Data'!J70&gt;E$150,10,IF('Indicator Data'!J70&lt;E$149,0,10-(E$150-'Indicator Data'!J70)/(E$150-E$149)*10)))</f>
        <v>3.9770549999999991</v>
      </c>
      <c r="F68" s="144">
        <f>IF(OR('Indicator Data'!AG70=0,'Indicator Data'!AG70="No data"),"x",IF('Indicator Data'!AG70&gt;F$150,0,IF('Indicator Data'!AG70&lt;F$149,10,(F$150-'Indicator Data'!AG70)/(F$150-F$149)*10)))</f>
        <v>5.61</v>
      </c>
      <c r="G68" s="144">
        <f>IF(OR('Indicator Data'!AE70=0,'Indicator Data'!AE70="No data"),"x",IF('Indicator Data'!AE70&gt;G$150,0,IF('Indicator Data'!AE70&lt;G$149,10,(G$150-'Indicator Data'!AE70)/(G$150-G$149)*10)))</f>
        <v>8.82</v>
      </c>
      <c r="H68" s="144">
        <f>IF(OR('Indicator Data'!AF70=0,'Indicator Data'!AF70="No data"),"x",IF('Indicator Data'!AF70&gt;H$150,0,IF('Indicator Data'!AF70&lt;H$149,10,(H$150-'Indicator Data'!AF70)/(H$150-H$149)*10)))</f>
        <v>8.0299999999999994</v>
      </c>
      <c r="I68" s="144">
        <f t="shared" si="17"/>
        <v>7.4866666666666672</v>
      </c>
      <c r="J68" s="49">
        <f t="shared" ref="J68:J131" si="19">IF(AND(D68="x",E68="x"),I68,IF(E68="x",(10-GEOMEAN(((10-D68)/10*9+1),((10-I68)/10*9+1)))/9*10,(10-GEOMEAN(((10-D68)/10*9+1),((10-E68)/10*9+1)))/9*10))</f>
        <v>6.2227535924455228</v>
      </c>
      <c r="K68" s="13">
        <f>IF('Indicator Data'!K70="No data","x",IF('Indicator Data'!K70&gt;K$150,10,IF('Indicator Data'!K70&lt;K$149,0,10-(K$150-'Indicator Data'!K70)/(K$150-K$149)*10)))</f>
        <v>9.2533333333333321</v>
      </c>
      <c r="L68" s="13">
        <f>IF('Indicator Data'!L70="No data","x",IF('Indicator Data'!L70&gt;L$150,10,IF('Indicator Data'!L70&lt;L$149,0,10-(L$150-'Indicator Data'!L70)/(L$150-L$149)*10)))</f>
        <v>5.3499999999999988</v>
      </c>
      <c r="M68" s="13">
        <f>IF('Indicator Data'!M70="No data","x",IF('Indicator Data'!M70&gt;M$150,10,IF('Indicator Data'!M70&lt;M$149,0,10-(M$150-'Indicator Data'!M70)/(M$150-M$149)*10)))</f>
        <v>1.3206480000000003</v>
      </c>
      <c r="N68" s="144"/>
      <c r="O68" s="49">
        <f t="shared" ref="O68:O131" si="20">IF(AND(K68="x",L68="x",M68="x",N68="x"),"x",AVERAGE(K68,L68,M68,N68))</f>
        <v>5.307993777777777</v>
      </c>
      <c r="P68" s="42">
        <f t="shared" ref="P68:P131" si="21">AVERAGE(J68,J68,O68)</f>
        <v>5.9178336542229415</v>
      </c>
      <c r="Q68" s="33">
        <f>'Indicator Data'!AA70</f>
        <v>0</v>
      </c>
      <c r="R68" s="13">
        <f t="shared" ref="R68:R131" si="22">IF(Q68=0,0,IF(LOG(Q68)&gt;$R$150,10,IF(LOG(Q68)&lt;R$149,0,10-(R$150-LOG(Q68))/(R$150-R$149)*10)))</f>
        <v>0</v>
      </c>
      <c r="S68" s="38">
        <f>Q68/'Indicator Data'!AN70</f>
        <v>0</v>
      </c>
      <c r="T68" s="13">
        <f t="shared" ref="T68:T131" si="23">IF(S68="x","x",IF(S68&gt;$T$150,10,IF(S68&lt;$T$149,0,((S68*100)/0.0052)^(1/4.0545)/6.5*10)))</f>
        <v>0</v>
      </c>
      <c r="U68" s="14">
        <f t="shared" ref="U68:U131" si="24">AVERAGE(R68,T68)</f>
        <v>0</v>
      </c>
      <c r="V68" s="33">
        <f>IF('Indicator Data'!Z70="",VLOOKUP($B68,'Indicator Data (national)'!$B$5:$AA$14,26,FALSE),'Indicator Data'!Z70)</f>
        <v>412000</v>
      </c>
      <c r="W68" s="13">
        <f t="shared" ref="W68:W131" si="25">IF(V68=0,0,IF(LOG(V68)&gt;$R$150,10,IF(LOG(V68)&lt;W$149,0,10-(W$150-LOG(V68))/(W$150-W$149)*10)))</f>
        <v>8.7163240534437811</v>
      </c>
      <c r="X68" s="38">
        <f>IF('Indicator Data'!Z70="",V68/VLOOKUP($B68,'Indicator Data (national)'!$B$5:$AM$14,38,FALSE),V68/'Indicator Data'!AN70)</f>
        <v>9.2889676306758782E-3</v>
      </c>
      <c r="Y68" s="13">
        <f t="shared" ref="Y68:Y131" si="26">IF(X68="x","x",IF(X68&gt;$T$150,10,IF(X68&lt;$T$149,0,((X68*100)/0.0052)^(1/4.0545)/6.5*10)))</f>
        <v>5.5272616817033251</v>
      </c>
      <c r="Z68" s="14">
        <f t="shared" ref="Z68:Z131" si="27">AVERAGE(W68,Y68)</f>
        <v>7.1217928675735536</v>
      </c>
      <c r="AA68" s="149">
        <f t="shared" ref="AA68:AA131" si="28">AVERAGE(U68,Z68)</f>
        <v>3.5608964337867768</v>
      </c>
      <c r="AB68" s="33">
        <f>VLOOKUP($B68,'Indicator Data (national)'!$B$5:$Z$14,25,FALSE)+VLOOKUP($B68,'Indicator Data (national)'!$B$5:$Z$14,24,FALSE)*0.5+VLOOKUP($B68,'Indicator Data (national)'!$B$5:$Z$14,23,FALSE)*0.25</f>
        <v>1063067</v>
      </c>
      <c r="AC68" s="39">
        <f>AB68/VLOOKUP($B68,'Indicator Data (national)'!$B$5:$AM$14,38,FALSE)</f>
        <v>2.3967948913203186E-2</v>
      </c>
      <c r="AD68" s="49">
        <f t="shared" ref="AD68:AD131" si="29">IF(AC68="x","x",IF(AC68&gt;AD$150,10,IF(AC68&lt;AD$149,0,10-(AD$150-AC68)/(AD$150-AD$149)*10)))</f>
        <v>2.3967948913203188</v>
      </c>
      <c r="AE68" s="13">
        <f>IF('Indicator Data'!V70="No data","x",IF(('Indicator Data'!V70)&gt;AE$150,10,IF(('Indicator Data'!V70)&lt;AE$149,0,10-(AE$150-('Indicator Data'!V70))/(AE$150-AE$149)*10)))</f>
        <v>0</v>
      </c>
      <c r="AF68" s="49">
        <f t="shared" ref="AF68:AF131" si="30">AE68</f>
        <v>0</v>
      </c>
      <c r="AG68" s="34">
        <f t="shared" ref="AG68:AG131" si="31">IF(AF68="x",AD68,(10-GEOMEAN(((10-AD68)/10*9+1),((10-AF68)/10*9+1)))/9*10)</f>
        <v>1.2711042119543197</v>
      </c>
      <c r="AH68" s="52">
        <f t="shared" si="18"/>
        <v>4.8457364982614042</v>
      </c>
    </row>
    <row r="69" spans="1:34" s="11" customFormat="1" x14ac:dyDescent="0.25">
      <c r="A69" s="16" t="s">
        <v>436</v>
      </c>
      <c r="B69" s="11" t="s">
        <v>576</v>
      </c>
      <c r="C69" s="126" t="s">
        <v>661</v>
      </c>
      <c r="D69" s="13">
        <f>IF('Indicator Data'!I71="No data","x",IF('Indicator Data'!I71&gt;D$150,0,IF('Indicator Data'!I71&lt;D$149,10,(D$150-'Indicator Data'!I71)/(D$150-D$149)*10)))</f>
        <v>6.1769230769230781</v>
      </c>
      <c r="E69" s="13">
        <f>IF('Indicator Data'!J71="No data","x",IF('Indicator Data'!J71&gt;E$150,10,IF('Indicator Data'!J71&lt;E$149,0,10-(E$150-'Indicator Data'!J71)/(E$150-E$149)*10)))</f>
        <v>4.2437783333333332</v>
      </c>
      <c r="F69" s="144">
        <f>IF(OR('Indicator Data'!AG71=0,'Indicator Data'!AG71="No data"),"x",IF('Indicator Data'!AG71&gt;F$150,0,IF('Indicator Data'!AG71&lt;F$149,10,(F$150-'Indicator Data'!AG71)/(F$150-F$149)*10)))</f>
        <v>4.49</v>
      </c>
      <c r="G69" s="144">
        <f>IF(OR('Indicator Data'!AE71=0,'Indicator Data'!AE71="No data"),"x",IF('Indicator Data'!AE71&gt;G$150,0,IF('Indicator Data'!AE71&lt;G$149,10,(G$150-'Indicator Data'!AE71)/(G$150-G$149)*10)))</f>
        <v>7.35</v>
      </c>
      <c r="H69" s="144">
        <f>IF(OR('Indicator Data'!AF71=0,'Indicator Data'!AF71="No data"),"x",IF('Indicator Data'!AF71&gt;H$150,0,IF('Indicator Data'!AF71&lt;H$149,10,(H$150-'Indicator Data'!AF71)/(H$150-H$149)*10)))</f>
        <v>7.8299999999999992</v>
      </c>
      <c r="I69" s="144">
        <f t="shared" si="17"/>
        <v>6.5566666666666658</v>
      </c>
      <c r="J69" s="49">
        <f t="shared" si="19"/>
        <v>5.2900535423442152</v>
      </c>
      <c r="K69" s="13">
        <f>IF('Indicator Data'!K71="No data","x",IF('Indicator Data'!K71&gt;K$150,10,IF('Indicator Data'!K71&lt;K$149,0,10-(K$150-'Indicator Data'!K71)/(K$150-K$149)*10)))</f>
        <v>8.6079999999999988</v>
      </c>
      <c r="L69" s="13">
        <f>IF('Indicator Data'!L71="No data","x",IF('Indicator Data'!L71&gt;L$150,10,IF('Indicator Data'!L71&lt;L$149,0,10-(L$150-'Indicator Data'!L71)/(L$150-L$149)*10)))</f>
        <v>2.875</v>
      </c>
      <c r="M69" s="13">
        <f>IF('Indicator Data'!M71="No data","x",IF('Indicator Data'!M71&gt;M$150,10,IF('Indicator Data'!M71&lt;M$149,0,10-(M$150-'Indicator Data'!M71)/(M$150-M$149)*10)))</f>
        <v>2.7714226666666661</v>
      </c>
      <c r="N69" s="144"/>
      <c r="O69" s="49">
        <f t="shared" si="20"/>
        <v>4.7514742222222219</v>
      </c>
      <c r="P69" s="42">
        <f t="shared" si="21"/>
        <v>5.1105271023035508</v>
      </c>
      <c r="Q69" s="33">
        <f>'Indicator Data'!AA71</f>
        <v>0</v>
      </c>
      <c r="R69" s="13">
        <f t="shared" si="22"/>
        <v>0</v>
      </c>
      <c r="S69" s="38">
        <f>Q69/'Indicator Data'!AN71</f>
        <v>0</v>
      </c>
      <c r="T69" s="13">
        <f t="shared" si="23"/>
        <v>0</v>
      </c>
      <c r="U69" s="14">
        <f t="shared" si="24"/>
        <v>0</v>
      </c>
      <c r="V69" s="33">
        <f>IF('Indicator Data'!Z71="",VLOOKUP($B69,'Indicator Data (national)'!$B$5:$AA$14,26,FALSE),'Indicator Data'!Z71)</f>
        <v>412000</v>
      </c>
      <c r="W69" s="13">
        <f t="shared" si="25"/>
        <v>8.7163240534437811</v>
      </c>
      <c r="X69" s="38">
        <f>IF('Indicator Data'!Z71="",V69/VLOOKUP($B69,'Indicator Data (national)'!$B$5:$AM$14,38,FALSE),V69/'Indicator Data'!AN71)</f>
        <v>9.2889676306758782E-3</v>
      </c>
      <c r="Y69" s="13">
        <f t="shared" si="26"/>
        <v>5.5272616817033251</v>
      </c>
      <c r="Z69" s="14">
        <f t="shared" si="27"/>
        <v>7.1217928675735536</v>
      </c>
      <c r="AA69" s="149">
        <f t="shared" si="28"/>
        <v>3.5608964337867768</v>
      </c>
      <c r="AB69" s="33">
        <f>VLOOKUP($B69,'Indicator Data (national)'!$B$5:$Z$14,25,FALSE)+VLOOKUP($B69,'Indicator Data (national)'!$B$5:$Z$14,24,FALSE)*0.5+VLOOKUP($B69,'Indicator Data (national)'!$B$5:$Z$14,23,FALSE)*0.25</f>
        <v>1063067</v>
      </c>
      <c r="AC69" s="39">
        <f>AB69/VLOOKUP($B69,'Indicator Data (national)'!$B$5:$AM$14,38,FALSE)</f>
        <v>2.3967948913203186E-2</v>
      </c>
      <c r="AD69" s="49">
        <f t="shared" si="29"/>
        <v>2.3967948913203188</v>
      </c>
      <c r="AE69" s="13">
        <f>IF('Indicator Data'!V71="No data","x",IF(('Indicator Data'!V71)&gt;AE$150,10,IF(('Indicator Data'!V71)&lt;AE$149,0,10-(AE$150-('Indicator Data'!V71))/(AE$150-AE$149)*10)))</f>
        <v>0</v>
      </c>
      <c r="AF69" s="49">
        <f t="shared" si="30"/>
        <v>0</v>
      </c>
      <c r="AG69" s="34">
        <f t="shared" si="31"/>
        <v>1.2711042119543197</v>
      </c>
      <c r="AH69" s="52">
        <f t="shared" si="18"/>
        <v>4.8457364982614042</v>
      </c>
    </row>
    <row r="70" spans="1:34" s="11" customFormat="1" x14ac:dyDescent="0.25">
      <c r="A70" s="16" t="s">
        <v>437</v>
      </c>
      <c r="B70" s="11" t="s">
        <v>576</v>
      </c>
      <c r="C70" s="126" t="s">
        <v>662</v>
      </c>
      <c r="D70" s="13">
        <f>IF('Indicator Data'!I72="No data","x",IF('Indicator Data'!I72&gt;D$150,0,IF('Indicator Data'!I72&lt;D$149,10,(D$150-'Indicator Data'!I72)/(D$150-D$149)*10)))</f>
        <v>5.9676923076923067</v>
      </c>
      <c r="E70" s="13">
        <f>IF('Indicator Data'!J72="No data","x",IF('Indicator Data'!J72&gt;E$150,10,IF('Indicator Data'!J72&lt;E$149,0,10-(E$150-'Indicator Data'!J72)/(E$150-E$149)*10)))</f>
        <v>2.2154616666666662</v>
      </c>
      <c r="F70" s="144">
        <f>IF(OR('Indicator Data'!AG72=0,'Indicator Data'!AG72="No data"),"x",IF('Indicator Data'!AG72&gt;F$150,0,IF('Indicator Data'!AG72&lt;F$149,10,(F$150-'Indicator Data'!AG72)/(F$150-F$149)*10)))</f>
        <v>3.5200000000000005</v>
      </c>
      <c r="G70" s="144">
        <f>IF(OR('Indicator Data'!AE72=0,'Indicator Data'!AE72="No data"),"x",IF('Indicator Data'!AE72&gt;G$150,0,IF('Indicator Data'!AE72&lt;G$149,10,(G$150-'Indicator Data'!AE72)/(G$150-G$149)*10)))</f>
        <v>7.9099999999999993</v>
      </c>
      <c r="H70" s="144">
        <f>IF(OR('Indicator Data'!AF72=0,'Indicator Data'!AF72="No data"),"x",IF('Indicator Data'!AF72&gt;H$150,0,IF('Indicator Data'!AF72&lt;H$149,10,(H$150-'Indicator Data'!AF72)/(H$150-H$149)*10)))</f>
        <v>6.94</v>
      </c>
      <c r="I70" s="144">
        <f t="shared" si="17"/>
        <v>6.123333333333334</v>
      </c>
      <c r="J70" s="49">
        <f t="shared" si="19"/>
        <v>4.3469370579707274</v>
      </c>
      <c r="K70" s="13">
        <f>IF('Indicator Data'!K72="No data","x",IF('Indicator Data'!K72&gt;K$150,10,IF('Indicator Data'!K72&lt;K$149,0,10-(K$150-'Indicator Data'!K72)/(K$150-K$149)*10)))</f>
        <v>7.5373333333333337</v>
      </c>
      <c r="L70" s="13">
        <f>IF('Indicator Data'!L72="No data","x",IF('Indicator Data'!L72&gt;L$150,10,IF('Indicator Data'!L72&lt;L$149,0,10-(L$150-'Indicator Data'!L72)/(L$150-L$149)*10)))</f>
        <v>2.7749999999999995</v>
      </c>
      <c r="M70" s="13">
        <f>IF('Indicator Data'!M72="No data","x",IF('Indicator Data'!M72&gt;M$150,10,IF('Indicator Data'!M72&lt;M$149,0,10-(M$150-'Indicator Data'!M72)/(M$150-M$149)*10)))</f>
        <v>0.84808799999999884</v>
      </c>
      <c r="N70" s="144"/>
      <c r="O70" s="49">
        <f t="shared" si="20"/>
        <v>3.7201404444444441</v>
      </c>
      <c r="P70" s="42">
        <f t="shared" si="21"/>
        <v>4.1380048534619664</v>
      </c>
      <c r="Q70" s="33">
        <f>'Indicator Data'!AA72</f>
        <v>0</v>
      </c>
      <c r="R70" s="13">
        <f t="shared" si="22"/>
        <v>0</v>
      </c>
      <c r="S70" s="38">
        <f>Q70/'Indicator Data'!AN72</f>
        <v>0</v>
      </c>
      <c r="T70" s="13">
        <f t="shared" si="23"/>
        <v>0</v>
      </c>
      <c r="U70" s="14">
        <f t="shared" si="24"/>
        <v>0</v>
      </c>
      <c r="V70" s="33">
        <f>IF('Indicator Data'!Z72="",VLOOKUP($B70,'Indicator Data (national)'!$B$5:$AA$14,26,FALSE),'Indicator Data'!Z72)</f>
        <v>412000</v>
      </c>
      <c r="W70" s="13">
        <f t="shared" si="25"/>
        <v>8.7163240534437811</v>
      </c>
      <c r="X70" s="38">
        <f>IF('Indicator Data'!Z72="",V70/VLOOKUP($B70,'Indicator Data (national)'!$B$5:$AM$14,38,FALSE),V70/'Indicator Data'!AN72)</f>
        <v>9.2889676306758782E-3</v>
      </c>
      <c r="Y70" s="13">
        <f t="shared" si="26"/>
        <v>5.5272616817033251</v>
      </c>
      <c r="Z70" s="14">
        <f t="shared" si="27"/>
        <v>7.1217928675735536</v>
      </c>
      <c r="AA70" s="149">
        <f t="shared" si="28"/>
        <v>3.5608964337867768</v>
      </c>
      <c r="AB70" s="33">
        <f>VLOOKUP($B70,'Indicator Data (national)'!$B$5:$Z$14,25,FALSE)+VLOOKUP($B70,'Indicator Data (national)'!$B$5:$Z$14,24,FALSE)*0.5+VLOOKUP($B70,'Indicator Data (national)'!$B$5:$Z$14,23,FALSE)*0.25</f>
        <v>1063067</v>
      </c>
      <c r="AC70" s="39">
        <f>AB70/VLOOKUP($B70,'Indicator Data (national)'!$B$5:$AM$14,38,FALSE)</f>
        <v>2.3967948913203186E-2</v>
      </c>
      <c r="AD70" s="49">
        <f t="shared" si="29"/>
        <v>2.3967948913203188</v>
      </c>
      <c r="AE70" s="13">
        <f>IF('Indicator Data'!V72="No data","x",IF(('Indicator Data'!V72)&gt;AE$150,10,IF(('Indicator Data'!V72)&lt;AE$149,0,10-(AE$150-('Indicator Data'!V72))/(AE$150-AE$149)*10)))</f>
        <v>0</v>
      </c>
      <c r="AF70" s="49">
        <f t="shared" si="30"/>
        <v>0</v>
      </c>
      <c r="AG70" s="34">
        <f t="shared" si="31"/>
        <v>1.2711042119543197</v>
      </c>
      <c r="AH70" s="52">
        <f t="shared" si="18"/>
        <v>4.8457364982614042</v>
      </c>
    </row>
    <row r="71" spans="1:34" s="11" customFormat="1" x14ac:dyDescent="0.25">
      <c r="A71" s="16" t="s">
        <v>438</v>
      </c>
      <c r="B71" s="11" t="s">
        <v>576</v>
      </c>
      <c r="C71" s="126" t="s">
        <v>663</v>
      </c>
      <c r="D71" s="13">
        <f>IF('Indicator Data'!I73="No data","x",IF('Indicator Data'!I73&gt;D$150,0,IF('Indicator Data'!I73&lt;D$149,10,(D$150-'Indicator Data'!I73)/(D$150-D$149)*10)))</f>
        <v>4.7507692307692304</v>
      </c>
      <c r="E71" s="13">
        <f>IF('Indicator Data'!J73="No data","x",IF('Indicator Data'!J73&gt;E$150,10,IF('Indicator Data'!J73&lt;E$149,0,10-(E$150-'Indicator Data'!J73)/(E$150-E$149)*10)))</f>
        <v>0.26480000000000103</v>
      </c>
      <c r="F71" s="144">
        <f>IF(OR('Indicator Data'!AG73=0,'Indicator Data'!AG73="No data"),"x",IF('Indicator Data'!AG73&gt;F$150,0,IF('Indicator Data'!AG73&lt;F$149,10,(F$150-'Indicator Data'!AG73)/(F$150-F$149)*10)))</f>
        <v>0.2</v>
      </c>
      <c r="G71" s="144">
        <f>IF(OR('Indicator Data'!AE73=0,'Indicator Data'!AE73="No data"),"x",IF('Indicator Data'!AE73&gt;G$150,0,IF('Indicator Data'!AE73&lt;G$149,10,(G$150-'Indicator Data'!AE73)/(G$150-G$149)*10)))</f>
        <v>1.1200000000000003</v>
      </c>
      <c r="H71" s="144">
        <f>IF(OR('Indicator Data'!AF73=0,'Indicator Data'!AF73="No data"),"x",IF('Indicator Data'!AF73&gt;H$150,0,IF('Indicator Data'!AF73&lt;H$149,10,(H$150-'Indicator Data'!AF73)/(H$150-H$149)*10)))</f>
        <v>5.2700000000000005</v>
      </c>
      <c r="I71" s="144">
        <f t="shared" si="17"/>
        <v>2.1966666666666668</v>
      </c>
      <c r="J71" s="49">
        <f t="shared" si="19"/>
        <v>2.8053151343718872</v>
      </c>
      <c r="K71" s="13">
        <f>IF('Indicator Data'!K73="No data","x",IF('Indicator Data'!K73&gt;K$150,10,IF('Indicator Data'!K73&lt;K$149,0,10-(K$150-'Indicator Data'!K73)/(K$150-K$149)*10)))</f>
        <v>8.2119999999999997</v>
      </c>
      <c r="L71" s="13">
        <f>IF('Indicator Data'!L73="No data","x",IF('Indicator Data'!L73&gt;L$150,10,IF('Indicator Data'!L73&lt;L$149,0,10-(L$150-'Indicator Data'!L73)/(L$150-L$149)*10)))</f>
        <v>2.2750000000000004</v>
      </c>
      <c r="M71" s="13">
        <f>IF('Indicator Data'!M73="No data","x",IF('Indicator Data'!M73&gt;M$150,10,IF('Indicator Data'!M73&lt;M$149,0,10-(M$150-'Indicator Data'!M73)/(M$150-M$149)*10)))</f>
        <v>0.67871466666666791</v>
      </c>
      <c r="N71" s="144"/>
      <c r="O71" s="49">
        <f t="shared" si="20"/>
        <v>3.7219048888888895</v>
      </c>
      <c r="P71" s="42">
        <f t="shared" si="21"/>
        <v>3.1108450525442213</v>
      </c>
      <c r="Q71" s="33">
        <f>'Indicator Data'!AA73</f>
        <v>51270</v>
      </c>
      <c r="R71" s="13">
        <f t="shared" si="22"/>
        <v>5.6995443914679988</v>
      </c>
      <c r="S71" s="38">
        <f>Q71/'Indicator Data'!AN73</f>
        <v>1.4070634199462698E-2</v>
      </c>
      <c r="T71" s="13">
        <f t="shared" si="23"/>
        <v>6.1233704644293949</v>
      </c>
      <c r="U71" s="14">
        <f t="shared" si="24"/>
        <v>5.9114574279486973</v>
      </c>
      <c r="V71" s="33">
        <f>IF('Indicator Data'!Z73="",VLOOKUP($B71,'Indicator Data (national)'!$B$5:$AA$14,26,FALSE),'Indicator Data'!Z73)</f>
        <v>412000</v>
      </c>
      <c r="W71" s="13">
        <f t="shared" si="25"/>
        <v>8.7163240534437811</v>
      </c>
      <c r="X71" s="38">
        <f>IF('Indicator Data'!Z73="",V71/VLOOKUP($B71,'Indicator Data (national)'!$B$5:$AM$14,38,FALSE),V71/'Indicator Data'!AN73)</f>
        <v>9.2889676306758782E-3</v>
      </c>
      <c r="Y71" s="13">
        <f t="shared" si="26"/>
        <v>5.5272616817033251</v>
      </c>
      <c r="Z71" s="14">
        <f t="shared" si="27"/>
        <v>7.1217928675735536</v>
      </c>
      <c r="AA71" s="149">
        <f t="shared" si="28"/>
        <v>6.5166251477611254</v>
      </c>
      <c r="AB71" s="33">
        <f>VLOOKUP($B71,'Indicator Data (national)'!$B$5:$Z$14,25,FALSE)+VLOOKUP($B71,'Indicator Data (national)'!$B$5:$Z$14,24,FALSE)*0.5+VLOOKUP($B71,'Indicator Data (national)'!$B$5:$Z$14,23,FALSE)*0.25</f>
        <v>1063067</v>
      </c>
      <c r="AC71" s="39">
        <f>AB71/VLOOKUP($B71,'Indicator Data (national)'!$B$5:$AM$14,38,FALSE)</f>
        <v>2.3967948913203186E-2</v>
      </c>
      <c r="AD71" s="49">
        <f t="shared" si="29"/>
        <v>2.3967948913203188</v>
      </c>
      <c r="AE71" s="13">
        <f>IF('Indicator Data'!V73="No data","x",IF(('Indicator Data'!V73)&gt;AE$150,10,IF(('Indicator Data'!V73)&lt;AE$149,0,10-(AE$150-('Indicator Data'!V73))/(AE$150-AE$149)*10)))</f>
        <v>0</v>
      </c>
      <c r="AF71" s="49">
        <f t="shared" si="30"/>
        <v>0</v>
      </c>
      <c r="AG71" s="34">
        <f t="shared" si="31"/>
        <v>1.2711042119543197</v>
      </c>
      <c r="AH71" s="52">
        <f t="shared" si="18"/>
        <v>4.8457364982614042</v>
      </c>
    </row>
    <row r="72" spans="1:34" s="11" customFormat="1" x14ac:dyDescent="0.25">
      <c r="A72" s="16" t="s">
        <v>439</v>
      </c>
      <c r="B72" s="11" t="s">
        <v>576</v>
      </c>
      <c r="C72" s="126" t="s">
        <v>664</v>
      </c>
      <c r="D72" s="13">
        <f>IF('Indicator Data'!I74="No data","x",IF('Indicator Data'!I74&gt;D$150,0,IF('Indicator Data'!I74&lt;D$149,10,(D$150-'Indicator Data'!I74)/(D$150-D$149)*10)))</f>
        <v>6.5646153846153856</v>
      </c>
      <c r="E72" s="13">
        <f>IF('Indicator Data'!J74="No data","x",IF('Indicator Data'!J74&gt;E$150,10,IF('Indicator Data'!J74&lt;E$149,0,10-(E$150-'Indicator Data'!J74)/(E$150-E$149)*10)))</f>
        <v>4.1633699999999996</v>
      </c>
      <c r="F72" s="144">
        <f>IF(OR('Indicator Data'!AG74=0,'Indicator Data'!AG74="No data"),"x",IF('Indicator Data'!AG74&gt;F$150,0,IF('Indicator Data'!AG74&lt;F$149,10,(F$150-'Indicator Data'!AG74)/(F$150-F$149)*10)))</f>
        <v>5.2200000000000006</v>
      </c>
      <c r="G72" s="144">
        <f>IF(OR('Indicator Data'!AE74=0,'Indicator Data'!AE74="No data"),"x",IF('Indicator Data'!AE74&gt;G$150,0,IF('Indicator Data'!AE74&lt;G$149,10,(G$150-'Indicator Data'!AE74)/(G$150-G$149)*10)))</f>
        <v>8.379999999999999</v>
      </c>
      <c r="H72" s="144">
        <f>IF(OR('Indicator Data'!AF74=0,'Indicator Data'!AF74="No data"),"x",IF('Indicator Data'!AF74&gt;H$150,0,IF('Indicator Data'!AF74&lt;H$149,10,(H$150-'Indicator Data'!AF74)/(H$150-H$149)*10)))</f>
        <v>7.7</v>
      </c>
      <c r="I72" s="144">
        <f t="shared" si="17"/>
        <v>7.1000000000000005</v>
      </c>
      <c r="J72" s="49">
        <f t="shared" si="19"/>
        <v>5.4908019318519008</v>
      </c>
      <c r="K72" s="13">
        <f>IF('Indicator Data'!K74="No data","x",IF('Indicator Data'!K74&gt;K$150,10,IF('Indicator Data'!K74&lt;K$149,0,10-(K$150-'Indicator Data'!K74)/(K$150-K$149)*10)))</f>
        <v>8.588000000000001</v>
      </c>
      <c r="L72" s="13">
        <f>IF('Indicator Data'!L74="No data","x",IF('Indicator Data'!L74&gt;L$150,10,IF('Indicator Data'!L74&lt;L$149,0,10-(L$150-'Indicator Data'!L74)/(L$150-L$149)*10)))</f>
        <v>3.1499999999999995</v>
      </c>
      <c r="M72" s="13">
        <f>IF('Indicator Data'!M74="No data","x",IF('Indicator Data'!M74&gt;M$150,10,IF('Indicator Data'!M74&lt;M$149,0,10-(M$150-'Indicator Data'!M74)/(M$150-M$149)*10)))</f>
        <v>3.1759799999999991</v>
      </c>
      <c r="N72" s="144"/>
      <c r="O72" s="49">
        <f t="shared" si="20"/>
        <v>4.9713266666666662</v>
      </c>
      <c r="P72" s="42">
        <f t="shared" si="21"/>
        <v>5.3176435101234896</v>
      </c>
      <c r="Q72" s="33">
        <f>'Indicator Data'!AA74</f>
        <v>0</v>
      </c>
      <c r="R72" s="13">
        <f t="shared" si="22"/>
        <v>0</v>
      </c>
      <c r="S72" s="38">
        <f>Q72/'Indicator Data'!AN74</f>
        <v>0</v>
      </c>
      <c r="T72" s="13">
        <f t="shared" si="23"/>
        <v>0</v>
      </c>
      <c r="U72" s="14">
        <f t="shared" si="24"/>
        <v>0</v>
      </c>
      <c r="V72" s="33">
        <f>IF('Indicator Data'!Z74="",VLOOKUP($B72,'Indicator Data (national)'!$B$5:$AA$14,26,FALSE),'Indicator Data'!Z74)</f>
        <v>412000</v>
      </c>
      <c r="W72" s="13">
        <f t="shared" si="25"/>
        <v>8.7163240534437811</v>
      </c>
      <c r="X72" s="38">
        <f>IF('Indicator Data'!Z74="",V72/VLOOKUP($B72,'Indicator Data (national)'!$B$5:$AM$14,38,FALSE),V72/'Indicator Data'!AN74)</f>
        <v>9.2889676306758782E-3</v>
      </c>
      <c r="Y72" s="13">
        <f t="shared" si="26"/>
        <v>5.5272616817033251</v>
      </c>
      <c r="Z72" s="14">
        <f t="shared" si="27"/>
        <v>7.1217928675735536</v>
      </c>
      <c r="AA72" s="149">
        <f t="shared" si="28"/>
        <v>3.5608964337867768</v>
      </c>
      <c r="AB72" s="33">
        <f>VLOOKUP($B72,'Indicator Data (national)'!$B$5:$Z$14,25,FALSE)+VLOOKUP($B72,'Indicator Data (national)'!$B$5:$Z$14,24,FALSE)*0.5+VLOOKUP($B72,'Indicator Data (national)'!$B$5:$Z$14,23,FALSE)*0.25</f>
        <v>1063067</v>
      </c>
      <c r="AC72" s="39">
        <f>AB72/VLOOKUP($B72,'Indicator Data (national)'!$B$5:$AM$14,38,FALSE)</f>
        <v>2.3967948913203186E-2</v>
      </c>
      <c r="AD72" s="49">
        <f t="shared" si="29"/>
        <v>2.3967948913203188</v>
      </c>
      <c r="AE72" s="13">
        <f>IF('Indicator Data'!V74="No data","x",IF(('Indicator Data'!V74)&gt;AE$150,10,IF(('Indicator Data'!V74)&lt;AE$149,0,10-(AE$150-('Indicator Data'!V74))/(AE$150-AE$149)*10)))</f>
        <v>0</v>
      </c>
      <c r="AF72" s="49">
        <f t="shared" si="30"/>
        <v>0</v>
      </c>
      <c r="AG72" s="34">
        <f t="shared" si="31"/>
        <v>1.2711042119543197</v>
      </c>
      <c r="AH72" s="52">
        <f t="shared" si="18"/>
        <v>4.8457364982614042</v>
      </c>
    </row>
    <row r="73" spans="1:34" s="11" customFormat="1" x14ac:dyDescent="0.25">
      <c r="A73" s="16" t="s">
        <v>440</v>
      </c>
      <c r="B73" s="11" t="s">
        <v>576</v>
      </c>
      <c r="C73" s="126" t="s">
        <v>665</v>
      </c>
      <c r="D73" s="13">
        <f>IF('Indicator Data'!I75="No data","x",IF('Indicator Data'!I75&gt;D$150,0,IF('Indicator Data'!I75&lt;D$149,10,(D$150-'Indicator Data'!I75)/(D$150-D$149)*10)))</f>
        <v>6.6692307692307704</v>
      </c>
      <c r="E73" s="13">
        <f>IF('Indicator Data'!J75="No data","x",IF('Indicator Data'!J75&gt;E$150,10,IF('Indicator Data'!J75&lt;E$149,0,10-(E$150-'Indicator Data'!J75)/(E$150-E$149)*10)))</f>
        <v>4.1633699999999996</v>
      </c>
      <c r="F73" s="144">
        <f>IF(OR('Indicator Data'!AG75=0,'Indicator Data'!AG75="No data"),"x",IF('Indicator Data'!AG75&gt;F$150,0,IF('Indicator Data'!AG75&lt;F$149,10,(F$150-'Indicator Data'!AG75)/(F$150-F$149)*10)))</f>
        <v>5.2200000000000006</v>
      </c>
      <c r="G73" s="144">
        <f>IF(OR('Indicator Data'!AE75=0,'Indicator Data'!AE75="No data"),"x",IF('Indicator Data'!AE75&gt;G$150,0,IF('Indicator Data'!AE75&lt;G$149,10,(G$150-'Indicator Data'!AE75)/(G$150-G$149)*10)))</f>
        <v>8.379999999999999</v>
      </c>
      <c r="H73" s="144">
        <f>IF(OR('Indicator Data'!AF75=0,'Indicator Data'!AF75="No data"),"x",IF('Indicator Data'!AF75&gt;H$150,0,IF('Indicator Data'!AF75&lt;H$149,10,(H$150-'Indicator Data'!AF75)/(H$150-H$149)*10)))</f>
        <v>7.7</v>
      </c>
      <c r="I73" s="144">
        <f t="shared" si="17"/>
        <v>7.1000000000000005</v>
      </c>
      <c r="J73" s="49">
        <f t="shared" si="19"/>
        <v>5.5558402210537849</v>
      </c>
      <c r="K73" s="13">
        <f>IF('Indicator Data'!K75="No data","x",IF('Indicator Data'!K75&gt;K$150,10,IF('Indicator Data'!K75&lt;K$149,0,10-(K$150-'Indicator Data'!K75)/(K$150-K$149)*10)))</f>
        <v>8.6946666666666665</v>
      </c>
      <c r="L73" s="13">
        <f>IF('Indicator Data'!L75="No data","x",IF('Indicator Data'!L75&gt;L$150,10,IF('Indicator Data'!L75&lt;L$149,0,10-(L$150-'Indicator Data'!L75)/(L$150-L$149)*10)))</f>
        <v>2.3249999999999993</v>
      </c>
      <c r="M73" s="13">
        <f>IF('Indicator Data'!M75="No data","x",IF('Indicator Data'!M75&gt;M$150,10,IF('Indicator Data'!M75&lt;M$149,0,10-(M$150-'Indicator Data'!M75)/(M$150-M$149)*10)))</f>
        <v>3.1759799999999991</v>
      </c>
      <c r="N73" s="144"/>
      <c r="O73" s="49">
        <f t="shared" si="20"/>
        <v>4.7318822222222217</v>
      </c>
      <c r="P73" s="42">
        <f t="shared" si="21"/>
        <v>5.2811875547765972</v>
      </c>
      <c r="Q73" s="33">
        <f>'Indicator Data'!AA75</f>
        <v>0</v>
      </c>
      <c r="R73" s="13">
        <f t="shared" si="22"/>
        <v>0</v>
      </c>
      <c r="S73" s="38">
        <f>Q73/'Indicator Data'!AN75</f>
        <v>0</v>
      </c>
      <c r="T73" s="13">
        <f t="shared" si="23"/>
        <v>0</v>
      </c>
      <c r="U73" s="14">
        <f t="shared" si="24"/>
        <v>0</v>
      </c>
      <c r="V73" s="33">
        <f>IF('Indicator Data'!Z75="",VLOOKUP($B73,'Indicator Data (national)'!$B$5:$AA$14,26,FALSE),'Indicator Data'!Z75)</f>
        <v>412000</v>
      </c>
      <c r="W73" s="13">
        <f t="shared" si="25"/>
        <v>8.7163240534437811</v>
      </c>
      <c r="X73" s="38">
        <f>IF('Indicator Data'!Z75="",V73/VLOOKUP($B73,'Indicator Data (national)'!$B$5:$AM$14,38,FALSE),V73/'Indicator Data'!AN75)</f>
        <v>9.2889676306758782E-3</v>
      </c>
      <c r="Y73" s="13">
        <f t="shared" si="26"/>
        <v>5.5272616817033251</v>
      </c>
      <c r="Z73" s="14">
        <f t="shared" si="27"/>
        <v>7.1217928675735536</v>
      </c>
      <c r="AA73" s="149">
        <f t="shared" si="28"/>
        <v>3.5608964337867768</v>
      </c>
      <c r="AB73" s="33">
        <f>VLOOKUP($B73,'Indicator Data (national)'!$B$5:$Z$14,25,FALSE)+VLOOKUP($B73,'Indicator Data (national)'!$B$5:$Z$14,24,FALSE)*0.5+VLOOKUP($B73,'Indicator Data (national)'!$B$5:$Z$14,23,FALSE)*0.25</f>
        <v>1063067</v>
      </c>
      <c r="AC73" s="39">
        <f>AB73/VLOOKUP($B73,'Indicator Data (national)'!$B$5:$AM$14,38,FALSE)</f>
        <v>2.3967948913203186E-2</v>
      </c>
      <c r="AD73" s="49">
        <f t="shared" si="29"/>
        <v>2.3967948913203188</v>
      </c>
      <c r="AE73" s="13">
        <f>IF('Indicator Data'!V75="No data","x",IF(('Indicator Data'!V75)&gt;AE$150,10,IF(('Indicator Data'!V75)&lt;AE$149,0,10-(AE$150-('Indicator Data'!V75))/(AE$150-AE$149)*10)))</f>
        <v>0</v>
      </c>
      <c r="AF73" s="49">
        <f t="shared" si="30"/>
        <v>0</v>
      </c>
      <c r="AG73" s="34">
        <f t="shared" si="31"/>
        <v>1.2711042119543197</v>
      </c>
      <c r="AH73" s="52">
        <f t="shared" si="18"/>
        <v>4.8457364982614042</v>
      </c>
    </row>
    <row r="74" spans="1:34" s="11" customFormat="1" x14ac:dyDescent="0.25">
      <c r="A74" s="16" t="s">
        <v>441</v>
      </c>
      <c r="B74" s="11" t="s">
        <v>576</v>
      </c>
      <c r="C74" s="126" t="s">
        <v>666</v>
      </c>
      <c r="D74" s="13">
        <f>IF('Indicator Data'!I76="No data","x",IF('Indicator Data'!I76&gt;D$150,0,IF('Indicator Data'!I76&lt;D$149,10,(D$150-'Indicator Data'!I76)/(D$150-D$149)*10)))</f>
        <v>6.7507692307692313</v>
      </c>
      <c r="E74" s="13">
        <f>IF('Indicator Data'!J76="No data","x",IF('Indicator Data'!J76&gt;E$150,10,IF('Indicator Data'!J76&lt;E$149,0,10-(E$150-'Indicator Data'!J76)/(E$150-E$149)*10)))</f>
        <v>4.1633699999999996</v>
      </c>
      <c r="F74" s="144">
        <f>IF(OR('Indicator Data'!AG76=0,'Indicator Data'!AG76="No data"),"x",IF('Indicator Data'!AG76&gt;F$150,0,IF('Indicator Data'!AG76&lt;F$149,10,(F$150-'Indicator Data'!AG76)/(F$150-F$149)*10)))</f>
        <v>5.2200000000000006</v>
      </c>
      <c r="G74" s="144">
        <f>IF(OR('Indicator Data'!AE76=0,'Indicator Data'!AE76="No data"),"x",IF('Indicator Data'!AE76&gt;G$150,0,IF('Indicator Data'!AE76&lt;G$149,10,(G$150-'Indicator Data'!AE76)/(G$150-G$149)*10)))</f>
        <v>8.379999999999999</v>
      </c>
      <c r="H74" s="144">
        <f>IF(OR('Indicator Data'!AF76=0,'Indicator Data'!AF76="No data"),"x",IF('Indicator Data'!AF76&gt;H$150,0,IF('Indicator Data'!AF76&lt;H$149,10,(H$150-'Indicator Data'!AF76)/(H$150-H$149)*10)))</f>
        <v>7.7</v>
      </c>
      <c r="I74" s="144">
        <f t="shared" si="17"/>
        <v>7.1000000000000005</v>
      </c>
      <c r="J74" s="49">
        <f t="shared" si="19"/>
        <v>5.607064732259385</v>
      </c>
      <c r="K74" s="13">
        <f>IF('Indicator Data'!K76="No data","x",IF('Indicator Data'!K76&gt;K$150,10,IF('Indicator Data'!K76&lt;K$149,0,10-(K$150-'Indicator Data'!K76)/(K$150-K$149)*10)))</f>
        <v>8.722666666666667</v>
      </c>
      <c r="L74" s="13">
        <f>IF('Indicator Data'!L76="No data","x",IF('Indicator Data'!L76&gt;L$150,10,IF('Indicator Data'!L76&lt;L$149,0,10-(L$150-'Indicator Data'!L76)/(L$150-L$149)*10)))</f>
        <v>1.625</v>
      </c>
      <c r="M74" s="13">
        <f>IF('Indicator Data'!M76="No data","x",IF('Indicator Data'!M76&gt;M$150,10,IF('Indicator Data'!M76&lt;M$149,0,10-(M$150-'Indicator Data'!M76)/(M$150-M$149)*10)))</f>
        <v>3.1759799999999991</v>
      </c>
      <c r="N74" s="144"/>
      <c r="O74" s="49">
        <f t="shared" si="20"/>
        <v>4.5078822222222223</v>
      </c>
      <c r="P74" s="42">
        <f t="shared" si="21"/>
        <v>5.2406705622469971</v>
      </c>
      <c r="Q74" s="33">
        <f>'Indicator Data'!AA76</f>
        <v>0</v>
      </c>
      <c r="R74" s="13">
        <f t="shared" si="22"/>
        <v>0</v>
      </c>
      <c r="S74" s="38">
        <f>Q74/'Indicator Data'!AN76</f>
        <v>0</v>
      </c>
      <c r="T74" s="13">
        <f t="shared" si="23"/>
        <v>0</v>
      </c>
      <c r="U74" s="14">
        <f t="shared" si="24"/>
        <v>0</v>
      </c>
      <c r="V74" s="33">
        <f>IF('Indicator Data'!Z76="",VLOOKUP($B74,'Indicator Data (national)'!$B$5:$AA$14,26,FALSE),'Indicator Data'!Z76)</f>
        <v>412000</v>
      </c>
      <c r="W74" s="13">
        <f t="shared" si="25"/>
        <v>8.7163240534437811</v>
      </c>
      <c r="X74" s="38">
        <f>IF('Indicator Data'!Z76="",V74/VLOOKUP($B74,'Indicator Data (national)'!$B$5:$AM$14,38,FALSE),V74/'Indicator Data'!AN76)</f>
        <v>9.2889676306758782E-3</v>
      </c>
      <c r="Y74" s="13">
        <f t="shared" si="26"/>
        <v>5.5272616817033251</v>
      </c>
      <c r="Z74" s="14">
        <f t="shared" si="27"/>
        <v>7.1217928675735536</v>
      </c>
      <c r="AA74" s="149">
        <f t="shared" si="28"/>
        <v>3.5608964337867768</v>
      </c>
      <c r="AB74" s="33">
        <f>VLOOKUP($B74,'Indicator Data (national)'!$B$5:$Z$14,25,FALSE)+VLOOKUP($B74,'Indicator Data (national)'!$B$5:$Z$14,24,FALSE)*0.5+VLOOKUP($B74,'Indicator Data (national)'!$B$5:$Z$14,23,FALSE)*0.25</f>
        <v>1063067</v>
      </c>
      <c r="AC74" s="39">
        <f>AB74/VLOOKUP($B74,'Indicator Data (national)'!$B$5:$AM$14,38,FALSE)</f>
        <v>2.3967948913203186E-2</v>
      </c>
      <c r="AD74" s="49">
        <f t="shared" si="29"/>
        <v>2.3967948913203188</v>
      </c>
      <c r="AE74" s="13">
        <f>IF('Indicator Data'!V76="No data","x",IF(('Indicator Data'!V76)&gt;AE$150,10,IF(('Indicator Data'!V76)&lt;AE$149,0,10-(AE$150-('Indicator Data'!V76))/(AE$150-AE$149)*10)))</f>
        <v>0</v>
      </c>
      <c r="AF74" s="49">
        <f t="shared" si="30"/>
        <v>0</v>
      </c>
      <c r="AG74" s="34">
        <f t="shared" si="31"/>
        <v>1.2711042119543197</v>
      </c>
      <c r="AH74" s="52">
        <f t="shared" si="18"/>
        <v>4.8457364982614042</v>
      </c>
    </row>
    <row r="75" spans="1:34" s="11" customFormat="1" x14ac:dyDescent="0.25">
      <c r="A75" s="16" t="s">
        <v>442</v>
      </c>
      <c r="B75" s="11" t="s">
        <v>576</v>
      </c>
      <c r="C75" s="126" t="s">
        <v>667</v>
      </c>
      <c r="D75" s="13">
        <f>IF('Indicator Data'!I77="No data","x",IF('Indicator Data'!I77&gt;D$150,0,IF('Indicator Data'!I77&lt;D$149,10,(D$150-'Indicator Data'!I77)/(D$150-D$149)*10)))</f>
        <v>6.2646153846153849</v>
      </c>
      <c r="E75" s="13">
        <f>IF('Indicator Data'!J77="No data","x",IF('Indicator Data'!J77&gt;E$150,10,IF('Indicator Data'!J77&lt;E$149,0,10-(E$150-'Indicator Data'!J77)/(E$150-E$149)*10)))</f>
        <v>3.9770549999999991</v>
      </c>
      <c r="F75" s="144">
        <f>IF(OR('Indicator Data'!AG77=0,'Indicator Data'!AG77="No data"),"x",IF('Indicator Data'!AG77&gt;F$150,0,IF('Indicator Data'!AG77&lt;F$149,10,(F$150-'Indicator Data'!AG77)/(F$150-F$149)*10)))</f>
        <v>5.61</v>
      </c>
      <c r="G75" s="144">
        <f>IF(OR('Indicator Data'!AE77=0,'Indicator Data'!AE77="No data"),"x",IF('Indicator Data'!AE77&gt;G$150,0,IF('Indicator Data'!AE77&lt;G$149,10,(G$150-'Indicator Data'!AE77)/(G$150-G$149)*10)))</f>
        <v>8.82</v>
      </c>
      <c r="H75" s="144">
        <f>IF(OR('Indicator Data'!AF77=0,'Indicator Data'!AF77="No data"),"x",IF('Indicator Data'!AF77&gt;H$150,0,IF('Indicator Data'!AF77&lt;H$149,10,(H$150-'Indicator Data'!AF77)/(H$150-H$149)*10)))</f>
        <v>8.0299999999999994</v>
      </c>
      <c r="I75" s="144">
        <f t="shared" si="17"/>
        <v>7.4866666666666672</v>
      </c>
      <c r="J75" s="49">
        <f t="shared" si="19"/>
        <v>5.2310454265221429</v>
      </c>
      <c r="K75" s="13">
        <f>IF('Indicator Data'!K77="No data","x",IF('Indicator Data'!K77&gt;K$150,10,IF('Indicator Data'!K77&lt;K$149,0,10-(K$150-'Indicator Data'!K77)/(K$150-K$149)*10)))</f>
        <v>8.6213333333333324</v>
      </c>
      <c r="L75" s="13">
        <f>IF('Indicator Data'!L77="No data","x",IF('Indicator Data'!L77&gt;L$150,10,IF('Indicator Data'!L77&lt;L$149,0,10-(L$150-'Indicator Data'!L77)/(L$150-L$149)*10)))</f>
        <v>3.5999999999999988</v>
      </c>
      <c r="M75" s="13">
        <f>IF('Indicator Data'!M77="No data","x",IF('Indicator Data'!M77&gt;M$150,10,IF('Indicator Data'!M77&lt;M$149,0,10-(M$150-'Indicator Data'!M77)/(M$150-M$149)*10)))</f>
        <v>1.3206480000000003</v>
      </c>
      <c r="N75" s="144"/>
      <c r="O75" s="49">
        <f t="shared" si="20"/>
        <v>4.5139937777777766</v>
      </c>
      <c r="P75" s="42">
        <f t="shared" si="21"/>
        <v>4.9920282102740208</v>
      </c>
      <c r="Q75" s="33">
        <f>'Indicator Data'!AA77</f>
        <v>0</v>
      </c>
      <c r="R75" s="13">
        <f t="shared" si="22"/>
        <v>0</v>
      </c>
      <c r="S75" s="38">
        <f>Q75/'Indicator Data'!AN77</f>
        <v>0</v>
      </c>
      <c r="T75" s="13">
        <f t="shared" si="23"/>
        <v>0</v>
      </c>
      <c r="U75" s="14">
        <f t="shared" si="24"/>
        <v>0</v>
      </c>
      <c r="V75" s="33">
        <f>IF('Indicator Data'!Z77="",VLOOKUP($B75,'Indicator Data (national)'!$B$5:$AA$14,26,FALSE),'Indicator Data'!Z77)</f>
        <v>412000</v>
      </c>
      <c r="W75" s="13">
        <f t="shared" si="25"/>
        <v>8.7163240534437811</v>
      </c>
      <c r="X75" s="38">
        <f>IF('Indicator Data'!Z77="",V75/VLOOKUP($B75,'Indicator Data (national)'!$B$5:$AM$14,38,FALSE),V75/'Indicator Data'!AN77)</f>
        <v>9.2889676306758782E-3</v>
      </c>
      <c r="Y75" s="13">
        <f t="shared" si="26"/>
        <v>5.5272616817033251</v>
      </c>
      <c r="Z75" s="14">
        <f t="shared" si="27"/>
        <v>7.1217928675735536</v>
      </c>
      <c r="AA75" s="149">
        <f t="shared" si="28"/>
        <v>3.5608964337867768</v>
      </c>
      <c r="AB75" s="33">
        <f>VLOOKUP($B75,'Indicator Data (national)'!$B$5:$Z$14,25,FALSE)+VLOOKUP($B75,'Indicator Data (national)'!$B$5:$Z$14,24,FALSE)*0.5+VLOOKUP($B75,'Indicator Data (national)'!$B$5:$Z$14,23,FALSE)*0.25</f>
        <v>1063067</v>
      </c>
      <c r="AC75" s="39">
        <f>AB75/VLOOKUP($B75,'Indicator Data (national)'!$B$5:$AM$14,38,FALSE)</f>
        <v>2.3967948913203186E-2</v>
      </c>
      <c r="AD75" s="49">
        <f t="shared" si="29"/>
        <v>2.3967948913203188</v>
      </c>
      <c r="AE75" s="13">
        <f>IF('Indicator Data'!V77="No data","x",IF(('Indicator Data'!V77)&gt;AE$150,10,IF(('Indicator Data'!V77)&lt;AE$149,0,10-(AE$150-('Indicator Data'!V77))/(AE$150-AE$149)*10)))</f>
        <v>0</v>
      </c>
      <c r="AF75" s="49">
        <f t="shared" si="30"/>
        <v>0</v>
      </c>
      <c r="AG75" s="34">
        <f t="shared" si="31"/>
        <v>1.2711042119543197</v>
      </c>
      <c r="AH75" s="52">
        <f t="shared" si="18"/>
        <v>4.8457364982614042</v>
      </c>
    </row>
    <row r="76" spans="1:34" s="11" customFormat="1" x14ac:dyDescent="0.25">
      <c r="A76" s="16" t="s">
        <v>443</v>
      </c>
      <c r="B76" s="11" t="s">
        <v>576</v>
      </c>
      <c r="C76" s="126" t="s">
        <v>668</v>
      </c>
      <c r="D76" s="13">
        <f>IF('Indicator Data'!I78="No data","x",IF('Indicator Data'!I78&gt;D$150,0,IF('Indicator Data'!I78&lt;D$149,10,(D$150-'Indicator Data'!I78)/(D$150-D$149)*10)))</f>
        <v>6.4046153846153855</v>
      </c>
      <c r="E76" s="13">
        <f>IF('Indicator Data'!J78="No data","x",IF('Indicator Data'!J78&gt;E$150,10,IF('Indicator Data'!J78&lt;E$149,0,10-(E$150-'Indicator Data'!J78)/(E$150-E$149)*10)))</f>
        <v>2.2154616666666662</v>
      </c>
      <c r="F76" s="144">
        <f>IF(OR('Indicator Data'!AG78=0,'Indicator Data'!AG78="No data"),"x",IF('Indicator Data'!AG78&gt;F$150,0,IF('Indicator Data'!AG78&lt;F$149,10,(F$150-'Indicator Data'!AG78)/(F$150-F$149)*10)))</f>
        <v>3.5200000000000005</v>
      </c>
      <c r="G76" s="144">
        <f>IF(OR('Indicator Data'!AE78=0,'Indicator Data'!AE78="No data"),"x",IF('Indicator Data'!AE78&gt;G$150,0,IF('Indicator Data'!AE78&lt;G$149,10,(G$150-'Indicator Data'!AE78)/(G$150-G$149)*10)))</f>
        <v>7.9099999999999993</v>
      </c>
      <c r="H76" s="144">
        <f>IF(OR('Indicator Data'!AF78=0,'Indicator Data'!AF78="No data"),"x",IF('Indicator Data'!AF78&gt;H$150,0,IF('Indicator Data'!AF78&lt;H$149,10,(H$150-'Indicator Data'!AF78)/(H$150-H$149)*10)))</f>
        <v>6.94</v>
      </c>
      <c r="I76" s="144">
        <f t="shared" si="17"/>
        <v>6.123333333333334</v>
      </c>
      <c r="J76" s="49">
        <f t="shared" si="19"/>
        <v>4.6406137504222231</v>
      </c>
      <c r="K76" s="13">
        <f>IF('Indicator Data'!K78="No data","x",IF('Indicator Data'!K78&gt;K$150,10,IF('Indicator Data'!K78&lt;K$149,0,10-(K$150-'Indicator Data'!K78)/(K$150-K$149)*10)))</f>
        <v>8.0106666666666673</v>
      </c>
      <c r="L76" s="13">
        <f>IF('Indicator Data'!L78="No data","x",IF('Indicator Data'!L78&gt;L$150,10,IF('Indicator Data'!L78&lt;L$149,0,10-(L$150-'Indicator Data'!L78)/(L$150-L$149)*10)))</f>
        <v>3.5999999999999988</v>
      </c>
      <c r="M76" s="13">
        <f>IF('Indicator Data'!M78="No data","x",IF('Indicator Data'!M78&gt;M$150,10,IF('Indicator Data'!M78&lt;M$149,0,10-(M$150-'Indicator Data'!M78)/(M$150-M$149)*10)))</f>
        <v>0.84808799999999884</v>
      </c>
      <c r="N76" s="144"/>
      <c r="O76" s="49">
        <f t="shared" si="20"/>
        <v>4.1529182222222216</v>
      </c>
      <c r="P76" s="42">
        <f t="shared" si="21"/>
        <v>4.4780485743555554</v>
      </c>
      <c r="Q76" s="33">
        <f>'Indicator Data'!AA78</f>
        <v>0</v>
      </c>
      <c r="R76" s="13">
        <f t="shared" si="22"/>
        <v>0</v>
      </c>
      <c r="S76" s="38">
        <f>Q76/'Indicator Data'!AN78</f>
        <v>0</v>
      </c>
      <c r="T76" s="13">
        <f t="shared" si="23"/>
        <v>0</v>
      </c>
      <c r="U76" s="14">
        <f t="shared" si="24"/>
        <v>0</v>
      </c>
      <c r="V76" s="33">
        <f>IF('Indicator Data'!Z78="",VLOOKUP($B76,'Indicator Data (national)'!$B$5:$AA$14,26,FALSE),'Indicator Data'!Z78)</f>
        <v>412000</v>
      </c>
      <c r="W76" s="13">
        <f t="shared" si="25"/>
        <v>8.7163240534437811</v>
      </c>
      <c r="X76" s="38">
        <f>IF('Indicator Data'!Z78="",V76/VLOOKUP($B76,'Indicator Data (national)'!$B$5:$AM$14,38,FALSE),V76/'Indicator Data'!AN78)</f>
        <v>9.2889676306758782E-3</v>
      </c>
      <c r="Y76" s="13">
        <f t="shared" si="26"/>
        <v>5.5272616817033251</v>
      </c>
      <c r="Z76" s="14">
        <f t="shared" si="27"/>
        <v>7.1217928675735536</v>
      </c>
      <c r="AA76" s="149">
        <f t="shared" si="28"/>
        <v>3.5608964337867768</v>
      </c>
      <c r="AB76" s="33">
        <f>VLOOKUP($B76,'Indicator Data (national)'!$B$5:$Z$14,25,FALSE)+VLOOKUP($B76,'Indicator Data (national)'!$B$5:$Z$14,24,FALSE)*0.5+VLOOKUP($B76,'Indicator Data (national)'!$B$5:$Z$14,23,FALSE)*0.25</f>
        <v>1063067</v>
      </c>
      <c r="AC76" s="39">
        <f>AB76/VLOOKUP($B76,'Indicator Data (national)'!$B$5:$AM$14,38,FALSE)</f>
        <v>2.3967948913203186E-2</v>
      </c>
      <c r="AD76" s="49">
        <f t="shared" si="29"/>
        <v>2.3967948913203188</v>
      </c>
      <c r="AE76" s="13">
        <f>IF('Indicator Data'!V78="No data","x",IF(('Indicator Data'!V78)&gt;AE$150,10,IF(('Indicator Data'!V78)&lt;AE$149,0,10-(AE$150-('Indicator Data'!V78))/(AE$150-AE$149)*10)))</f>
        <v>0</v>
      </c>
      <c r="AF76" s="49">
        <f t="shared" si="30"/>
        <v>0</v>
      </c>
      <c r="AG76" s="34">
        <f t="shared" si="31"/>
        <v>1.2711042119543197</v>
      </c>
      <c r="AH76" s="52">
        <f t="shared" si="18"/>
        <v>4.8457364982614042</v>
      </c>
    </row>
    <row r="77" spans="1:34" s="11" customFormat="1" x14ac:dyDescent="0.25">
      <c r="A77" s="16" t="s">
        <v>444</v>
      </c>
      <c r="B77" s="11" t="s">
        <v>576</v>
      </c>
      <c r="C77" s="126" t="s">
        <v>669</v>
      </c>
      <c r="D77" s="13">
        <f>IF('Indicator Data'!I79="No data","x",IF('Indicator Data'!I79&gt;D$150,0,IF('Indicator Data'!I79&lt;D$149,10,(D$150-'Indicator Data'!I79)/(D$150-D$149)*10)))</f>
        <v>5.5430769230769226</v>
      </c>
      <c r="E77" s="13">
        <f>IF('Indicator Data'!J79="No data","x",IF('Indicator Data'!J79&gt;E$150,10,IF('Indicator Data'!J79&lt;E$149,0,10-(E$150-'Indicator Data'!J79)/(E$150-E$149)*10)))</f>
        <v>2.2154616666666662</v>
      </c>
      <c r="F77" s="144">
        <f>IF(OR('Indicator Data'!AG79=0,'Indicator Data'!AG79="No data"),"x",IF('Indicator Data'!AG79&gt;F$150,0,IF('Indicator Data'!AG79&lt;F$149,10,(F$150-'Indicator Data'!AG79)/(F$150-F$149)*10)))</f>
        <v>3.5200000000000005</v>
      </c>
      <c r="G77" s="144">
        <f>IF(OR('Indicator Data'!AE79=0,'Indicator Data'!AE79="No data"),"x",IF('Indicator Data'!AE79&gt;G$150,0,IF('Indicator Data'!AE79&lt;G$149,10,(G$150-'Indicator Data'!AE79)/(G$150-G$149)*10)))</f>
        <v>7.9099999999999993</v>
      </c>
      <c r="H77" s="144">
        <f>IF(OR('Indicator Data'!AF79=0,'Indicator Data'!AF79="No data"),"x",IF('Indicator Data'!AF79&gt;H$150,0,IF('Indicator Data'!AF79&lt;H$149,10,(H$150-'Indicator Data'!AF79)/(H$150-H$149)*10)))</f>
        <v>6.94</v>
      </c>
      <c r="I77" s="144">
        <f t="shared" si="17"/>
        <v>6.123333333333334</v>
      </c>
      <c r="J77" s="49">
        <f t="shared" si="19"/>
        <v>4.073264833205207</v>
      </c>
      <c r="K77" s="13">
        <f>IF('Indicator Data'!K79="No data","x",IF('Indicator Data'!K79&gt;K$150,10,IF('Indicator Data'!K79&lt;K$149,0,10-(K$150-'Indicator Data'!K79)/(K$150-K$149)*10)))</f>
        <v>7.0613333333333328</v>
      </c>
      <c r="L77" s="13">
        <f>IF('Indicator Data'!L79="No data","x",IF('Indicator Data'!L79&gt;L$150,10,IF('Indicator Data'!L79&lt;L$149,0,10-(L$150-'Indicator Data'!L79)/(L$150-L$149)*10)))</f>
        <v>2.875</v>
      </c>
      <c r="M77" s="13">
        <f>IF('Indicator Data'!M79="No data","x",IF('Indicator Data'!M79&gt;M$150,10,IF('Indicator Data'!M79&lt;M$149,0,10-(M$150-'Indicator Data'!M79)/(M$150-M$149)*10)))</f>
        <v>0.84808799999999884</v>
      </c>
      <c r="N77" s="144"/>
      <c r="O77" s="49">
        <f t="shared" si="20"/>
        <v>3.5948071111111108</v>
      </c>
      <c r="P77" s="42">
        <f t="shared" si="21"/>
        <v>3.9137789258405085</v>
      </c>
      <c r="Q77" s="33">
        <f>'Indicator Data'!AA79</f>
        <v>0</v>
      </c>
      <c r="R77" s="13">
        <f t="shared" si="22"/>
        <v>0</v>
      </c>
      <c r="S77" s="38">
        <f>Q77/'Indicator Data'!AN79</f>
        <v>0</v>
      </c>
      <c r="T77" s="13">
        <f t="shared" si="23"/>
        <v>0</v>
      </c>
      <c r="U77" s="14">
        <f t="shared" si="24"/>
        <v>0</v>
      </c>
      <c r="V77" s="33">
        <f>IF('Indicator Data'!Z79="",VLOOKUP($B77,'Indicator Data (national)'!$B$5:$AA$14,26,FALSE),'Indicator Data'!Z79)</f>
        <v>412000</v>
      </c>
      <c r="W77" s="13">
        <f t="shared" si="25"/>
        <v>8.7163240534437811</v>
      </c>
      <c r="X77" s="38">
        <f>IF('Indicator Data'!Z79="",V77/VLOOKUP($B77,'Indicator Data (national)'!$B$5:$AM$14,38,FALSE),V77/'Indicator Data'!AN79)</f>
        <v>9.2889676306758782E-3</v>
      </c>
      <c r="Y77" s="13">
        <f t="shared" si="26"/>
        <v>5.5272616817033251</v>
      </c>
      <c r="Z77" s="14">
        <f t="shared" si="27"/>
        <v>7.1217928675735536</v>
      </c>
      <c r="AA77" s="149">
        <f t="shared" si="28"/>
        <v>3.5608964337867768</v>
      </c>
      <c r="AB77" s="33">
        <f>VLOOKUP($B77,'Indicator Data (national)'!$B$5:$Z$14,25,FALSE)+VLOOKUP($B77,'Indicator Data (national)'!$B$5:$Z$14,24,FALSE)*0.5+VLOOKUP($B77,'Indicator Data (national)'!$B$5:$Z$14,23,FALSE)*0.25</f>
        <v>1063067</v>
      </c>
      <c r="AC77" s="39">
        <f>AB77/VLOOKUP($B77,'Indicator Data (national)'!$B$5:$AM$14,38,FALSE)</f>
        <v>2.3967948913203186E-2</v>
      </c>
      <c r="AD77" s="49">
        <f t="shared" si="29"/>
        <v>2.3967948913203188</v>
      </c>
      <c r="AE77" s="13">
        <f>IF('Indicator Data'!V79="No data","x",IF(('Indicator Data'!V79)&gt;AE$150,10,IF(('Indicator Data'!V79)&lt;AE$149,0,10-(AE$150-('Indicator Data'!V79))/(AE$150-AE$149)*10)))</f>
        <v>4.7368421052631584</v>
      </c>
      <c r="AF77" s="49">
        <f t="shared" si="30"/>
        <v>4.7368421052631584</v>
      </c>
      <c r="AG77" s="34">
        <f t="shared" si="31"/>
        <v>3.6580985801293902</v>
      </c>
      <c r="AH77" s="52">
        <f t="shared" si="18"/>
        <v>5.6583651185712602</v>
      </c>
    </row>
    <row r="78" spans="1:34" s="11" customFormat="1" x14ac:dyDescent="0.25">
      <c r="A78" s="16" t="s">
        <v>445</v>
      </c>
      <c r="B78" s="11" t="s">
        <v>576</v>
      </c>
      <c r="C78" s="126" t="s">
        <v>670</v>
      </c>
      <c r="D78" s="13">
        <f>IF('Indicator Data'!I80="No data","x",IF('Indicator Data'!I80&gt;D$150,0,IF('Indicator Data'!I80&lt;D$149,10,(D$150-'Indicator Data'!I80)/(D$150-D$149)*10)))</f>
        <v>8.0553846153846145</v>
      </c>
      <c r="E78" s="13">
        <f>IF('Indicator Data'!J80="No data","x",IF('Indicator Data'!J80&gt;E$150,10,IF('Indicator Data'!J80&lt;E$149,0,10-(E$150-'Indicator Data'!J80)/(E$150-E$149)*10)))</f>
        <v>4.1633699999999996</v>
      </c>
      <c r="F78" s="144">
        <f>IF(OR('Indicator Data'!AG80=0,'Indicator Data'!AG80="No data"),"x",IF('Indicator Data'!AG80&gt;F$150,0,IF('Indicator Data'!AG80&lt;F$149,10,(F$150-'Indicator Data'!AG80)/(F$150-F$149)*10)))</f>
        <v>5.2200000000000006</v>
      </c>
      <c r="G78" s="144">
        <f>IF(OR('Indicator Data'!AE80=0,'Indicator Data'!AE80="No data"),"x",IF('Indicator Data'!AE80&gt;G$150,0,IF('Indicator Data'!AE80&lt;G$149,10,(G$150-'Indicator Data'!AE80)/(G$150-G$149)*10)))</f>
        <v>8.379999999999999</v>
      </c>
      <c r="H78" s="144">
        <f>IF(OR('Indicator Data'!AF80=0,'Indicator Data'!AF80="No data"),"x",IF('Indicator Data'!AF80&gt;H$150,0,IF('Indicator Data'!AF80&lt;H$149,10,(H$150-'Indicator Data'!AF80)/(H$150-H$149)*10)))</f>
        <v>7.7</v>
      </c>
      <c r="I78" s="144">
        <f t="shared" si="17"/>
        <v>7.1000000000000005</v>
      </c>
      <c r="J78" s="49">
        <f t="shared" si="19"/>
        <v>6.5034656604855456</v>
      </c>
      <c r="K78" s="13">
        <f>IF('Indicator Data'!K80="No data","x",IF('Indicator Data'!K80&gt;K$150,10,IF('Indicator Data'!K80&lt;K$149,0,10-(K$150-'Indicator Data'!K80)/(K$150-K$149)*10)))</f>
        <v>8.8066666666666666</v>
      </c>
      <c r="L78" s="13">
        <f>IF('Indicator Data'!L80="No data","x",IF('Indicator Data'!L80&gt;L$150,10,IF('Indicator Data'!L80&lt;L$149,0,10-(L$150-'Indicator Data'!L80)/(L$150-L$149)*10)))</f>
        <v>1.7000000000000011</v>
      </c>
      <c r="M78" s="13">
        <f>IF('Indicator Data'!M80="No data","x",IF('Indicator Data'!M80&gt;M$150,10,IF('Indicator Data'!M80&lt;M$149,0,10-(M$150-'Indicator Data'!M80)/(M$150-M$149)*10)))</f>
        <v>3.1759799999999991</v>
      </c>
      <c r="N78" s="144"/>
      <c r="O78" s="49">
        <f t="shared" si="20"/>
        <v>4.5608822222222223</v>
      </c>
      <c r="P78" s="42">
        <f t="shared" si="21"/>
        <v>5.8559378477311048</v>
      </c>
      <c r="Q78" s="33">
        <f>'Indicator Data'!AA80</f>
        <v>0</v>
      </c>
      <c r="R78" s="13">
        <f t="shared" si="22"/>
        <v>0</v>
      </c>
      <c r="S78" s="38">
        <f>Q78/'Indicator Data'!AN80</f>
        <v>0</v>
      </c>
      <c r="T78" s="13">
        <f t="shared" si="23"/>
        <v>0</v>
      </c>
      <c r="U78" s="14">
        <f t="shared" si="24"/>
        <v>0</v>
      </c>
      <c r="V78" s="33">
        <f>IF('Indicator Data'!Z80="",VLOOKUP($B78,'Indicator Data (national)'!$B$5:$AA$14,26,FALSE),'Indicator Data'!Z80)</f>
        <v>412000</v>
      </c>
      <c r="W78" s="13">
        <f t="shared" si="25"/>
        <v>8.7163240534437811</v>
      </c>
      <c r="X78" s="38">
        <f>IF('Indicator Data'!Z80="",V78/VLOOKUP($B78,'Indicator Data (national)'!$B$5:$AM$14,38,FALSE),V78/'Indicator Data'!AN80)</f>
        <v>9.2889676306758782E-3</v>
      </c>
      <c r="Y78" s="13">
        <f t="shared" si="26"/>
        <v>5.5272616817033251</v>
      </c>
      <c r="Z78" s="14">
        <f t="shared" si="27"/>
        <v>7.1217928675735536</v>
      </c>
      <c r="AA78" s="149">
        <f t="shared" si="28"/>
        <v>3.5608964337867768</v>
      </c>
      <c r="AB78" s="33">
        <f>VLOOKUP($B78,'Indicator Data (national)'!$B$5:$Z$14,25,FALSE)+VLOOKUP($B78,'Indicator Data (national)'!$B$5:$Z$14,24,FALSE)*0.5+VLOOKUP($B78,'Indicator Data (national)'!$B$5:$Z$14,23,FALSE)*0.25</f>
        <v>1063067</v>
      </c>
      <c r="AC78" s="39">
        <f>AB78/VLOOKUP($B78,'Indicator Data (national)'!$B$5:$AM$14,38,FALSE)</f>
        <v>2.3967948913203186E-2</v>
      </c>
      <c r="AD78" s="49">
        <f t="shared" si="29"/>
        <v>2.3967948913203188</v>
      </c>
      <c r="AE78" s="13">
        <f>IF('Indicator Data'!V80="No data","x",IF(('Indicator Data'!V80)&gt;AE$150,10,IF(('Indicator Data'!V80)&lt;AE$149,0,10-(AE$150-('Indicator Data'!V80))/(AE$150-AE$149)*10)))</f>
        <v>10</v>
      </c>
      <c r="AF78" s="49">
        <f t="shared" si="30"/>
        <v>10</v>
      </c>
      <c r="AG78" s="34">
        <f t="shared" si="31"/>
        <v>7.999427711800486</v>
      </c>
      <c r="AH78" s="52">
        <f t="shared" si="18"/>
        <v>7.587832048507237</v>
      </c>
    </row>
    <row r="79" spans="1:34" s="11" customFormat="1" x14ac:dyDescent="0.25">
      <c r="A79" s="16" t="s">
        <v>446</v>
      </c>
      <c r="B79" s="11" t="s">
        <v>576</v>
      </c>
      <c r="C79" s="126" t="s">
        <v>671</v>
      </c>
      <c r="D79" s="13">
        <f>IF('Indicator Data'!I81="No data","x",IF('Indicator Data'!I81&gt;D$150,0,IF('Indicator Data'!I81&lt;D$149,10,(D$150-'Indicator Data'!I81)/(D$150-D$149)*10)))</f>
        <v>7.77076923076923</v>
      </c>
      <c r="E79" s="13">
        <f>IF('Indicator Data'!J81="No data","x",IF('Indicator Data'!J81&gt;E$150,10,IF('Indicator Data'!J81&lt;E$149,0,10-(E$150-'Indicator Data'!J81)/(E$150-E$149)*10)))</f>
        <v>3.9770549999999991</v>
      </c>
      <c r="F79" s="144">
        <f>IF(OR('Indicator Data'!AG81=0,'Indicator Data'!AG81="No data"),"x",IF('Indicator Data'!AG81&gt;F$150,0,IF('Indicator Data'!AG81&lt;F$149,10,(F$150-'Indicator Data'!AG81)/(F$150-F$149)*10)))</f>
        <v>5.61</v>
      </c>
      <c r="G79" s="144">
        <f>IF(OR('Indicator Data'!AE81=0,'Indicator Data'!AE81="No data"),"x",IF('Indicator Data'!AE81&gt;G$150,0,IF('Indicator Data'!AE81&lt;G$149,10,(G$150-'Indicator Data'!AE81)/(G$150-G$149)*10)))</f>
        <v>8.82</v>
      </c>
      <c r="H79" s="144">
        <f>IF(OR('Indicator Data'!AF81=0,'Indicator Data'!AF81="No data"),"x",IF('Indicator Data'!AF81&gt;H$150,0,IF('Indicator Data'!AF81&lt;H$149,10,(H$150-'Indicator Data'!AF81)/(H$150-H$149)*10)))</f>
        <v>8.0299999999999994</v>
      </c>
      <c r="I79" s="144">
        <f t="shared" si="17"/>
        <v>7.4866666666666672</v>
      </c>
      <c r="J79" s="49">
        <f t="shared" si="19"/>
        <v>6.229493919579868</v>
      </c>
      <c r="K79" s="13">
        <f>IF('Indicator Data'!K81="No data","x",IF('Indicator Data'!K81&gt;K$150,10,IF('Indicator Data'!K81&lt;K$149,0,10-(K$150-'Indicator Data'!K81)/(K$150-K$149)*10)))</f>
        <v>8.68</v>
      </c>
      <c r="L79" s="13">
        <f>IF('Indicator Data'!L81="No data","x",IF('Indicator Data'!L81&gt;L$150,10,IF('Indicator Data'!L81&lt;L$149,0,10-(L$150-'Indicator Data'!L81)/(L$150-L$149)*10)))</f>
        <v>3.8750000000000009</v>
      </c>
      <c r="M79" s="13">
        <f>IF('Indicator Data'!M81="No data","x",IF('Indicator Data'!M81&gt;M$150,10,IF('Indicator Data'!M81&lt;M$149,0,10-(M$150-'Indicator Data'!M81)/(M$150-M$149)*10)))</f>
        <v>1.3206480000000003</v>
      </c>
      <c r="N79" s="144"/>
      <c r="O79" s="49">
        <f t="shared" si="20"/>
        <v>4.625216</v>
      </c>
      <c r="P79" s="42">
        <f t="shared" si="21"/>
        <v>5.694734613053245</v>
      </c>
      <c r="Q79" s="33">
        <f>'Indicator Data'!AA81</f>
        <v>0</v>
      </c>
      <c r="R79" s="13">
        <f t="shared" si="22"/>
        <v>0</v>
      </c>
      <c r="S79" s="38">
        <f>Q79/'Indicator Data'!AN81</f>
        <v>0</v>
      </c>
      <c r="T79" s="13">
        <f t="shared" si="23"/>
        <v>0</v>
      </c>
      <c r="U79" s="14">
        <f t="shared" si="24"/>
        <v>0</v>
      </c>
      <c r="V79" s="33">
        <f>IF('Indicator Data'!Z81="",VLOOKUP($B79,'Indicator Data (national)'!$B$5:$AA$14,26,FALSE),'Indicator Data'!Z81)</f>
        <v>412000</v>
      </c>
      <c r="W79" s="13">
        <f t="shared" si="25"/>
        <v>8.7163240534437811</v>
      </c>
      <c r="X79" s="38">
        <f>IF('Indicator Data'!Z81="",V79/VLOOKUP($B79,'Indicator Data (national)'!$B$5:$AM$14,38,FALSE),V79/'Indicator Data'!AN81)</f>
        <v>9.2889676306758782E-3</v>
      </c>
      <c r="Y79" s="13">
        <f t="shared" si="26"/>
        <v>5.5272616817033251</v>
      </c>
      <c r="Z79" s="14">
        <f t="shared" si="27"/>
        <v>7.1217928675735536</v>
      </c>
      <c r="AA79" s="149">
        <f t="shared" si="28"/>
        <v>3.5608964337867768</v>
      </c>
      <c r="AB79" s="33">
        <f>VLOOKUP($B79,'Indicator Data (national)'!$B$5:$Z$14,25,FALSE)+VLOOKUP($B79,'Indicator Data (national)'!$B$5:$Z$14,24,FALSE)*0.5+VLOOKUP($B79,'Indicator Data (national)'!$B$5:$Z$14,23,FALSE)*0.25</f>
        <v>1063067</v>
      </c>
      <c r="AC79" s="39">
        <f>AB79/VLOOKUP($B79,'Indicator Data (national)'!$B$5:$AM$14,38,FALSE)</f>
        <v>2.3967948913203186E-2</v>
      </c>
      <c r="AD79" s="49">
        <f t="shared" si="29"/>
        <v>2.3967948913203188</v>
      </c>
      <c r="AE79" s="13">
        <f>IF('Indicator Data'!V81="No data","x",IF(('Indicator Data'!V81)&gt;AE$150,10,IF(('Indicator Data'!V81)&lt;AE$149,0,10-(AE$150-('Indicator Data'!V81))/(AE$150-AE$149)*10)))</f>
        <v>0</v>
      </c>
      <c r="AF79" s="49">
        <f t="shared" si="30"/>
        <v>0</v>
      </c>
      <c r="AG79" s="34">
        <f t="shared" si="31"/>
        <v>1.2711042119543197</v>
      </c>
      <c r="AH79" s="52">
        <f t="shared" si="18"/>
        <v>4.8457364982614042</v>
      </c>
    </row>
    <row r="80" spans="1:34" s="11" customFormat="1" x14ac:dyDescent="0.25">
      <c r="A80" s="16" t="s">
        <v>447</v>
      </c>
      <c r="B80" s="11" t="s">
        <v>576</v>
      </c>
      <c r="C80" s="126" t="s">
        <v>672</v>
      </c>
      <c r="D80" s="13">
        <f>IF('Indicator Data'!I82="No data","x",IF('Indicator Data'!I82&gt;D$150,0,IF('Indicator Data'!I82&lt;D$149,10,(D$150-'Indicator Data'!I82)/(D$150-D$149)*10)))</f>
        <v>6.3692307692307697</v>
      </c>
      <c r="E80" s="13">
        <f>IF('Indicator Data'!J82="No data","x",IF('Indicator Data'!J82&gt;E$150,10,IF('Indicator Data'!J82&lt;E$149,0,10-(E$150-'Indicator Data'!J82)/(E$150-E$149)*10)))</f>
        <v>4.2437783333333332</v>
      </c>
      <c r="F80" s="144">
        <f>IF(OR('Indicator Data'!AG82=0,'Indicator Data'!AG82="No data"),"x",IF('Indicator Data'!AG82&gt;F$150,0,IF('Indicator Data'!AG82&lt;F$149,10,(F$150-'Indicator Data'!AG82)/(F$150-F$149)*10)))</f>
        <v>4.49</v>
      </c>
      <c r="G80" s="144">
        <f>IF(OR('Indicator Data'!AE82=0,'Indicator Data'!AE82="No data"),"x",IF('Indicator Data'!AE82&gt;G$150,0,IF('Indicator Data'!AE82&lt;G$149,10,(G$150-'Indicator Data'!AE82)/(G$150-G$149)*10)))</f>
        <v>7.35</v>
      </c>
      <c r="H80" s="144">
        <f>IF(OR('Indicator Data'!AF82=0,'Indicator Data'!AF82="No data"),"x",IF('Indicator Data'!AF82&gt;H$150,0,IF('Indicator Data'!AF82&lt;H$149,10,(H$150-'Indicator Data'!AF82)/(H$150-H$149)*10)))</f>
        <v>7.8299999999999992</v>
      </c>
      <c r="I80" s="144">
        <f t="shared" si="17"/>
        <v>6.5566666666666658</v>
      </c>
      <c r="J80" s="49">
        <f t="shared" si="19"/>
        <v>5.4046174153207662</v>
      </c>
      <c r="K80" s="13">
        <f>IF('Indicator Data'!K82="No data","x",IF('Indicator Data'!K82&gt;K$150,10,IF('Indicator Data'!K82&lt;K$149,0,10-(K$150-'Indicator Data'!K82)/(K$150-K$149)*10)))</f>
        <v>8</v>
      </c>
      <c r="L80" s="13">
        <f>IF('Indicator Data'!L82="No data","x",IF('Indicator Data'!L82&gt;L$150,10,IF('Indicator Data'!L82&lt;L$149,0,10-(L$150-'Indicator Data'!L82)/(L$150-L$149)*10)))</f>
        <v>4.6750000000000016</v>
      </c>
      <c r="M80" s="13">
        <f>IF('Indicator Data'!M82="No data","x",IF('Indicator Data'!M82&gt;M$150,10,IF('Indicator Data'!M82&lt;M$149,0,10-(M$150-'Indicator Data'!M82)/(M$150-M$149)*10)))</f>
        <v>2.7714226666666661</v>
      </c>
      <c r="N80" s="144"/>
      <c r="O80" s="49">
        <f t="shared" si="20"/>
        <v>5.1488075555555559</v>
      </c>
      <c r="P80" s="42">
        <f t="shared" si="21"/>
        <v>5.3193474620656964</v>
      </c>
      <c r="Q80" s="33">
        <f>'Indicator Data'!AA82</f>
        <v>0</v>
      </c>
      <c r="R80" s="13">
        <f t="shared" si="22"/>
        <v>0</v>
      </c>
      <c r="S80" s="38">
        <f>Q80/'Indicator Data'!AN82</f>
        <v>0</v>
      </c>
      <c r="T80" s="13">
        <f t="shared" si="23"/>
        <v>0</v>
      </c>
      <c r="U80" s="14">
        <f t="shared" si="24"/>
        <v>0</v>
      </c>
      <c r="V80" s="33">
        <f>IF('Indicator Data'!Z82="",VLOOKUP($B80,'Indicator Data (national)'!$B$5:$AA$14,26,FALSE),'Indicator Data'!Z82)</f>
        <v>412000</v>
      </c>
      <c r="W80" s="13">
        <f t="shared" si="25"/>
        <v>8.7163240534437811</v>
      </c>
      <c r="X80" s="38">
        <f>IF('Indicator Data'!Z82="",V80/VLOOKUP($B80,'Indicator Data (national)'!$B$5:$AM$14,38,FALSE),V80/'Indicator Data'!AN82)</f>
        <v>9.2889676306758782E-3</v>
      </c>
      <c r="Y80" s="13">
        <f t="shared" si="26"/>
        <v>5.5272616817033251</v>
      </c>
      <c r="Z80" s="14">
        <f t="shared" si="27"/>
        <v>7.1217928675735536</v>
      </c>
      <c r="AA80" s="149">
        <f t="shared" si="28"/>
        <v>3.5608964337867768</v>
      </c>
      <c r="AB80" s="33">
        <f>VLOOKUP($B80,'Indicator Data (national)'!$B$5:$Z$14,25,FALSE)+VLOOKUP($B80,'Indicator Data (national)'!$B$5:$Z$14,24,FALSE)*0.5+VLOOKUP($B80,'Indicator Data (national)'!$B$5:$Z$14,23,FALSE)*0.25</f>
        <v>1063067</v>
      </c>
      <c r="AC80" s="39">
        <f>AB80/VLOOKUP($B80,'Indicator Data (national)'!$B$5:$AM$14,38,FALSE)</f>
        <v>2.3967948913203186E-2</v>
      </c>
      <c r="AD80" s="49">
        <f t="shared" si="29"/>
        <v>2.3967948913203188</v>
      </c>
      <c r="AE80" s="13">
        <f>IF('Indicator Data'!V82="No data","x",IF(('Indicator Data'!V82)&gt;AE$150,10,IF(('Indicator Data'!V82)&lt;AE$149,0,10-(AE$150-('Indicator Data'!V82))/(AE$150-AE$149)*10)))</f>
        <v>10</v>
      </c>
      <c r="AF80" s="49">
        <f t="shared" si="30"/>
        <v>10</v>
      </c>
      <c r="AG80" s="34">
        <f t="shared" si="31"/>
        <v>7.999427711800486</v>
      </c>
      <c r="AH80" s="52">
        <f t="shared" si="18"/>
        <v>7.587832048507237</v>
      </c>
    </row>
    <row r="81" spans="1:34" s="11" customFormat="1" x14ac:dyDescent="0.25">
      <c r="A81" s="16" t="s">
        <v>448</v>
      </c>
      <c r="B81" s="11" t="s">
        <v>576</v>
      </c>
      <c r="C81" s="126" t="s">
        <v>673</v>
      </c>
      <c r="D81" s="13">
        <f>IF('Indicator Data'!I83="No data","x",IF('Indicator Data'!I83&gt;D$150,0,IF('Indicator Data'!I83&lt;D$149,10,(D$150-'Indicator Data'!I83)/(D$150-D$149)*10)))</f>
        <v>8.4461538461538463</v>
      </c>
      <c r="E81" s="13">
        <f>IF('Indicator Data'!J83="No data","x",IF('Indicator Data'!J83&gt;E$150,10,IF('Indicator Data'!J83&lt;E$149,0,10-(E$150-'Indicator Data'!J83)/(E$150-E$149)*10)))</f>
        <v>4.2437783333333332</v>
      </c>
      <c r="F81" s="144">
        <f>IF(OR('Indicator Data'!AG83=0,'Indicator Data'!AG83="No data"),"x",IF('Indicator Data'!AG83&gt;F$150,0,IF('Indicator Data'!AG83&lt;F$149,10,(F$150-'Indicator Data'!AG83)/(F$150-F$149)*10)))</f>
        <v>4.49</v>
      </c>
      <c r="G81" s="144">
        <f>IF(OR('Indicator Data'!AE83=0,'Indicator Data'!AE83="No data"),"x",IF('Indicator Data'!AE83&gt;G$150,0,IF('Indicator Data'!AE83&lt;G$149,10,(G$150-'Indicator Data'!AE83)/(G$150-G$149)*10)))</f>
        <v>7.35</v>
      </c>
      <c r="H81" s="144">
        <f>IF(OR('Indicator Data'!AF83=0,'Indicator Data'!AF83="No data"),"x",IF('Indicator Data'!AF83&gt;H$150,0,IF('Indicator Data'!AF83&lt;H$149,10,(H$150-'Indicator Data'!AF83)/(H$150-H$149)*10)))</f>
        <v>7.8299999999999992</v>
      </c>
      <c r="I81" s="144">
        <f t="shared" si="17"/>
        <v>6.5566666666666658</v>
      </c>
      <c r="J81" s="49">
        <f t="shared" si="19"/>
        <v>6.8331269623538891</v>
      </c>
      <c r="K81" s="13">
        <f>IF('Indicator Data'!K83="No data","x",IF('Indicator Data'!K83&gt;K$150,10,IF('Indicator Data'!K83&lt;K$149,0,10-(K$150-'Indicator Data'!K83)/(K$150-K$149)*10)))</f>
        <v>9.1386666666666674</v>
      </c>
      <c r="L81" s="13">
        <f>IF('Indicator Data'!L83="No data","x",IF('Indicator Data'!L83&gt;L$150,10,IF('Indicator Data'!L83&lt;L$149,0,10-(L$150-'Indicator Data'!L83)/(L$150-L$149)*10)))</f>
        <v>9.1749999999999989</v>
      </c>
      <c r="M81" s="13">
        <f>IF('Indicator Data'!M83="No data","x",IF('Indicator Data'!M83&gt;M$150,10,IF('Indicator Data'!M83&lt;M$149,0,10-(M$150-'Indicator Data'!M83)/(M$150-M$149)*10)))</f>
        <v>2.7714226666666661</v>
      </c>
      <c r="N81" s="144"/>
      <c r="O81" s="49">
        <f t="shared" si="20"/>
        <v>7.0283631111111111</v>
      </c>
      <c r="P81" s="42">
        <f t="shared" si="21"/>
        <v>6.8982056786062964</v>
      </c>
      <c r="Q81" s="33">
        <f>'Indicator Data'!AA83</f>
        <v>0</v>
      </c>
      <c r="R81" s="13">
        <f t="shared" si="22"/>
        <v>0</v>
      </c>
      <c r="S81" s="38">
        <f>Q81/'Indicator Data'!AN83</f>
        <v>0</v>
      </c>
      <c r="T81" s="13">
        <f t="shared" si="23"/>
        <v>0</v>
      </c>
      <c r="U81" s="14">
        <f t="shared" si="24"/>
        <v>0</v>
      </c>
      <c r="V81" s="33">
        <f>IF('Indicator Data'!Z83="",VLOOKUP($B81,'Indicator Data (national)'!$B$5:$AA$14,26,FALSE),'Indicator Data'!Z83)</f>
        <v>412000</v>
      </c>
      <c r="W81" s="13">
        <f t="shared" si="25"/>
        <v>8.7163240534437811</v>
      </c>
      <c r="X81" s="38">
        <f>IF('Indicator Data'!Z83="",V81/VLOOKUP($B81,'Indicator Data (national)'!$B$5:$AM$14,38,FALSE),V81/'Indicator Data'!AN83)</f>
        <v>9.2889676306758782E-3</v>
      </c>
      <c r="Y81" s="13">
        <f t="shared" si="26"/>
        <v>5.5272616817033251</v>
      </c>
      <c r="Z81" s="14">
        <f t="shared" si="27"/>
        <v>7.1217928675735536</v>
      </c>
      <c r="AA81" s="149">
        <f t="shared" si="28"/>
        <v>3.5608964337867768</v>
      </c>
      <c r="AB81" s="33">
        <f>VLOOKUP($B81,'Indicator Data (national)'!$B$5:$Z$14,25,FALSE)+VLOOKUP($B81,'Indicator Data (national)'!$B$5:$Z$14,24,FALSE)*0.5+VLOOKUP($B81,'Indicator Data (national)'!$B$5:$Z$14,23,FALSE)*0.25</f>
        <v>1063067</v>
      </c>
      <c r="AC81" s="39">
        <f>AB81/VLOOKUP($B81,'Indicator Data (national)'!$B$5:$AM$14,38,FALSE)</f>
        <v>2.3967948913203186E-2</v>
      </c>
      <c r="AD81" s="49">
        <f t="shared" si="29"/>
        <v>2.3967948913203188</v>
      </c>
      <c r="AE81" s="13">
        <f>IF('Indicator Data'!V83="No data","x",IF(('Indicator Data'!V83)&gt;AE$150,10,IF(('Indicator Data'!V83)&lt;AE$149,0,10-(AE$150-('Indicator Data'!V83))/(AE$150-AE$149)*10)))</f>
        <v>8.9473684210526319</v>
      </c>
      <c r="AF81" s="49">
        <f t="shared" si="30"/>
        <v>8.9473684210526319</v>
      </c>
      <c r="AG81" s="34">
        <f t="shared" si="31"/>
        <v>6.7688147118045912</v>
      </c>
      <c r="AH81" s="52">
        <f t="shared" si="18"/>
        <v>6.9490440471871109</v>
      </c>
    </row>
    <row r="82" spans="1:34" s="11" customFormat="1" x14ac:dyDescent="0.25">
      <c r="A82" s="16" t="s">
        <v>449</v>
      </c>
      <c r="B82" s="11" t="s">
        <v>576</v>
      </c>
      <c r="C82" s="126" t="s">
        <v>674</v>
      </c>
      <c r="D82" s="13">
        <f>IF('Indicator Data'!I84="No data","x",IF('Indicator Data'!I84&gt;D$150,0,IF('Indicator Data'!I84&lt;D$149,10,(D$150-'Indicator Data'!I84)/(D$150-D$149)*10)))</f>
        <v>6.6938461538461533</v>
      </c>
      <c r="E82" s="13">
        <f>IF('Indicator Data'!J84="No data","x",IF('Indicator Data'!J84&gt;E$150,10,IF('Indicator Data'!J84&lt;E$149,0,10-(E$150-'Indicator Data'!J84)/(E$150-E$149)*10)))</f>
        <v>4.1374849999999999</v>
      </c>
      <c r="F82" s="144">
        <f>IF(OR('Indicator Data'!AG84=0,'Indicator Data'!AG84="No data"),"x",IF('Indicator Data'!AG84&gt;F$150,0,IF('Indicator Data'!AG84&lt;F$149,10,(F$150-'Indicator Data'!AG84)/(F$150-F$149)*10)))</f>
        <v>5.81</v>
      </c>
      <c r="G82" s="144">
        <f>IF(OR('Indicator Data'!AE84=0,'Indicator Data'!AE84="No data"),"x",IF('Indicator Data'!AE84&gt;G$150,0,IF('Indicator Data'!AE84&lt;G$149,10,(G$150-'Indicator Data'!AE84)/(G$150-G$149)*10)))</f>
        <v>9.2799999999999994</v>
      </c>
      <c r="H82" s="144">
        <f>IF(OR('Indicator Data'!AF84=0,'Indicator Data'!AF84="No data"),"x",IF('Indicator Data'!AF84&gt;H$150,0,IF('Indicator Data'!AF84&lt;H$149,10,(H$150-'Indicator Data'!AF84)/(H$150-H$149)*10)))</f>
        <v>8.01</v>
      </c>
      <c r="I82" s="144">
        <f t="shared" si="17"/>
        <v>7.7</v>
      </c>
      <c r="J82" s="49">
        <f t="shared" si="19"/>
        <v>5.5609440644647652</v>
      </c>
      <c r="K82" s="13">
        <f>IF('Indicator Data'!K84="No data","x",IF('Indicator Data'!K84&gt;K$150,10,IF('Indicator Data'!K84&lt;K$149,0,10-(K$150-'Indicator Data'!K84)/(K$150-K$149)*10)))</f>
        <v>7.7733333333333334</v>
      </c>
      <c r="L82" s="13">
        <f>IF('Indicator Data'!L84="No data","x",IF('Indicator Data'!L84&gt;L$150,10,IF('Indicator Data'!L84&lt;L$149,0,10-(L$150-'Indicator Data'!L84)/(L$150-L$149)*10)))</f>
        <v>3.6999999999999993</v>
      </c>
      <c r="M82" s="13">
        <f>IF('Indicator Data'!M84="No data","x",IF('Indicator Data'!M84&gt;M$150,10,IF('Indicator Data'!M84&lt;M$149,0,10-(M$150-'Indicator Data'!M84)/(M$150-M$149)*10)))</f>
        <v>1.8867666666666665</v>
      </c>
      <c r="N82" s="144"/>
      <c r="O82" s="49">
        <f t="shared" si="20"/>
        <v>4.4533666666666667</v>
      </c>
      <c r="P82" s="42">
        <f t="shared" si="21"/>
        <v>5.1917515985320657</v>
      </c>
      <c r="Q82" s="33">
        <f>'Indicator Data'!AA84</f>
        <v>0</v>
      </c>
      <c r="R82" s="13">
        <f t="shared" si="22"/>
        <v>0</v>
      </c>
      <c r="S82" s="38">
        <f>Q82/'Indicator Data'!AN84</f>
        <v>0</v>
      </c>
      <c r="T82" s="13">
        <f t="shared" si="23"/>
        <v>0</v>
      </c>
      <c r="U82" s="14">
        <f t="shared" si="24"/>
        <v>0</v>
      </c>
      <c r="V82" s="33">
        <f>IF('Indicator Data'!Z84="",VLOOKUP($B82,'Indicator Data (national)'!$B$5:$AA$14,26,FALSE),'Indicator Data'!Z84)</f>
        <v>412000</v>
      </c>
      <c r="W82" s="13">
        <f t="shared" si="25"/>
        <v>8.7163240534437811</v>
      </c>
      <c r="X82" s="38">
        <f>IF('Indicator Data'!Z84="",V82/VLOOKUP($B82,'Indicator Data (national)'!$B$5:$AM$14,38,FALSE),V82/'Indicator Data'!AN84)</f>
        <v>9.2889676306758782E-3</v>
      </c>
      <c r="Y82" s="13">
        <f t="shared" si="26"/>
        <v>5.5272616817033251</v>
      </c>
      <c r="Z82" s="14">
        <f t="shared" si="27"/>
        <v>7.1217928675735536</v>
      </c>
      <c r="AA82" s="149">
        <f t="shared" si="28"/>
        <v>3.5608964337867768</v>
      </c>
      <c r="AB82" s="33">
        <f>VLOOKUP($B82,'Indicator Data (national)'!$B$5:$Z$14,25,FALSE)+VLOOKUP($B82,'Indicator Data (national)'!$B$5:$Z$14,24,FALSE)*0.5+VLOOKUP($B82,'Indicator Data (national)'!$B$5:$Z$14,23,FALSE)*0.25</f>
        <v>1063067</v>
      </c>
      <c r="AC82" s="39">
        <f>AB82/VLOOKUP($B82,'Indicator Data (national)'!$B$5:$AM$14,38,FALSE)</f>
        <v>2.3967948913203186E-2</v>
      </c>
      <c r="AD82" s="49">
        <f t="shared" si="29"/>
        <v>2.3967948913203188</v>
      </c>
      <c r="AE82" s="13">
        <f>IF('Indicator Data'!V84="No data","x",IF(('Indicator Data'!V84)&gt;AE$150,10,IF(('Indicator Data'!V84)&lt;AE$149,0,10-(AE$150-('Indicator Data'!V84))/(AE$150-AE$149)*10)))</f>
        <v>6.3157894736842106</v>
      </c>
      <c r="AF82" s="49">
        <f t="shared" si="30"/>
        <v>6.3157894736842106</v>
      </c>
      <c r="AG82" s="34">
        <f t="shared" si="31"/>
        <v>4.6467511950681484</v>
      </c>
      <c r="AH82" s="52">
        <f t="shared" si="18"/>
        <v>6.0328841620802676</v>
      </c>
    </row>
    <row r="83" spans="1:34" s="11" customFormat="1" x14ac:dyDescent="0.25">
      <c r="A83" s="16" t="s">
        <v>450</v>
      </c>
      <c r="B83" s="11" t="s">
        <v>576</v>
      </c>
      <c r="C83" s="126" t="s">
        <v>675</v>
      </c>
      <c r="D83" s="13">
        <f>IF('Indicator Data'!I85="No data","x",IF('Indicator Data'!I85&gt;D$150,0,IF('Indicator Data'!I85&lt;D$149,10,(D$150-'Indicator Data'!I85)/(D$150-D$149)*10)))</f>
        <v>6.9030769230769238</v>
      </c>
      <c r="E83" s="13">
        <f>IF('Indicator Data'!J85="No data","x",IF('Indicator Data'!J85&gt;E$150,10,IF('Indicator Data'!J85&lt;E$149,0,10-(E$150-'Indicator Data'!J85)/(E$150-E$149)*10)))</f>
        <v>4.1633699999999996</v>
      </c>
      <c r="F83" s="144">
        <f>IF(OR('Indicator Data'!AG85=0,'Indicator Data'!AG85="No data"),"x",IF('Indicator Data'!AG85&gt;F$150,0,IF('Indicator Data'!AG85&lt;F$149,10,(F$150-'Indicator Data'!AG85)/(F$150-F$149)*10)))</f>
        <v>5.2200000000000006</v>
      </c>
      <c r="G83" s="144">
        <f>IF(OR('Indicator Data'!AE85=0,'Indicator Data'!AE85="No data"),"x",IF('Indicator Data'!AE85&gt;G$150,0,IF('Indicator Data'!AE85&lt;G$149,10,(G$150-'Indicator Data'!AE85)/(G$150-G$149)*10)))</f>
        <v>8.379999999999999</v>
      </c>
      <c r="H83" s="144">
        <f>IF(OR('Indicator Data'!AF85=0,'Indicator Data'!AF85="No data"),"x",IF('Indicator Data'!AF85&gt;H$150,0,IF('Indicator Data'!AF85&lt;H$149,10,(H$150-'Indicator Data'!AF85)/(H$150-H$149)*10)))</f>
        <v>7.7</v>
      </c>
      <c r="I83" s="144">
        <f t="shared" si="17"/>
        <v>7.1000000000000005</v>
      </c>
      <c r="J83" s="49">
        <f t="shared" si="19"/>
        <v>5.7040479410375289</v>
      </c>
      <c r="K83" s="13">
        <f>IF('Indicator Data'!K85="No data","x",IF('Indicator Data'!K85&gt;K$150,10,IF('Indicator Data'!K85&lt;K$149,0,10-(K$150-'Indicator Data'!K85)/(K$150-K$149)*10)))</f>
        <v>8.2653333333333343</v>
      </c>
      <c r="L83" s="13">
        <f>IF('Indicator Data'!L85="No data","x",IF('Indicator Data'!L85&gt;L$150,10,IF('Indicator Data'!L85&lt;L$149,0,10-(L$150-'Indicator Data'!L85)/(L$150-L$149)*10)))</f>
        <v>2.7499999999999991</v>
      </c>
      <c r="M83" s="13">
        <f>IF('Indicator Data'!M85="No data","x",IF('Indicator Data'!M85&gt;M$150,10,IF('Indicator Data'!M85&lt;M$149,0,10-(M$150-'Indicator Data'!M85)/(M$150-M$149)*10)))</f>
        <v>3.1759799999999991</v>
      </c>
      <c r="N83" s="144"/>
      <c r="O83" s="49">
        <f t="shared" si="20"/>
        <v>4.7304377777777775</v>
      </c>
      <c r="P83" s="42">
        <f t="shared" si="21"/>
        <v>5.3795112199509454</v>
      </c>
      <c r="Q83" s="33">
        <f>'Indicator Data'!AA85</f>
        <v>0</v>
      </c>
      <c r="R83" s="13">
        <f t="shared" si="22"/>
        <v>0</v>
      </c>
      <c r="S83" s="38">
        <f>Q83/'Indicator Data'!AN85</f>
        <v>0</v>
      </c>
      <c r="T83" s="13">
        <f t="shared" si="23"/>
        <v>0</v>
      </c>
      <c r="U83" s="14">
        <f t="shared" si="24"/>
        <v>0</v>
      </c>
      <c r="V83" s="33">
        <f>IF('Indicator Data'!Z85="",VLOOKUP($B83,'Indicator Data (national)'!$B$5:$AA$14,26,FALSE),'Indicator Data'!Z85)</f>
        <v>412000</v>
      </c>
      <c r="W83" s="13">
        <f t="shared" si="25"/>
        <v>8.7163240534437811</v>
      </c>
      <c r="X83" s="38">
        <f>IF('Indicator Data'!Z85="",V83/VLOOKUP($B83,'Indicator Data (national)'!$B$5:$AM$14,38,FALSE),V83/'Indicator Data'!AN85)</f>
        <v>9.2889676306758782E-3</v>
      </c>
      <c r="Y83" s="13">
        <f t="shared" si="26"/>
        <v>5.5272616817033251</v>
      </c>
      <c r="Z83" s="14">
        <f t="shared" si="27"/>
        <v>7.1217928675735536</v>
      </c>
      <c r="AA83" s="149">
        <f t="shared" si="28"/>
        <v>3.5608964337867768</v>
      </c>
      <c r="AB83" s="33">
        <f>VLOOKUP($B83,'Indicator Data (national)'!$B$5:$Z$14,25,FALSE)+VLOOKUP($B83,'Indicator Data (national)'!$B$5:$Z$14,24,FALSE)*0.5+VLOOKUP($B83,'Indicator Data (national)'!$B$5:$Z$14,23,FALSE)*0.25</f>
        <v>1063067</v>
      </c>
      <c r="AC83" s="39">
        <f>AB83/VLOOKUP($B83,'Indicator Data (national)'!$B$5:$AM$14,38,FALSE)</f>
        <v>2.3967948913203186E-2</v>
      </c>
      <c r="AD83" s="49">
        <f t="shared" si="29"/>
        <v>2.3967948913203188</v>
      </c>
      <c r="AE83" s="13">
        <f>IF('Indicator Data'!V85="No data","x",IF(('Indicator Data'!V85)&gt;AE$150,10,IF(('Indicator Data'!V85)&lt;AE$149,0,10-(AE$150-('Indicator Data'!V85))/(AE$150-AE$149)*10)))</f>
        <v>0</v>
      </c>
      <c r="AF83" s="49">
        <f t="shared" si="30"/>
        <v>0</v>
      </c>
      <c r="AG83" s="34">
        <f t="shared" si="31"/>
        <v>1.2711042119543197</v>
      </c>
      <c r="AH83" s="52">
        <f t="shared" si="18"/>
        <v>4.8457364982614042</v>
      </c>
    </row>
    <row r="84" spans="1:34" s="11" customFormat="1" x14ac:dyDescent="0.25">
      <c r="A84" s="16" t="s">
        <v>451</v>
      </c>
      <c r="B84" s="11" t="s">
        <v>576</v>
      </c>
      <c r="C84" s="126" t="s">
        <v>676</v>
      </c>
      <c r="D84" s="13">
        <f>IF('Indicator Data'!I86="No data","x",IF('Indicator Data'!I86&gt;D$150,0,IF('Indicator Data'!I86&lt;D$149,10,(D$150-'Indicator Data'!I86)/(D$150-D$149)*10)))</f>
        <v>8.8600000000000012</v>
      </c>
      <c r="E84" s="13">
        <f>IF('Indicator Data'!J86="No data","x",IF('Indicator Data'!J86&gt;E$150,10,IF('Indicator Data'!J86&lt;E$149,0,10-(E$150-'Indicator Data'!J86)/(E$150-E$149)*10)))</f>
        <v>4.1633699999999996</v>
      </c>
      <c r="F84" s="144">
        <f>IF(OR('Indicator Data'!AG86=0,'Indicator Data'!AG86="No data"),"x",IF('Indicator Data'!AG86&gt;F$150,0,IF('Indicator Data'!AG86&lt;F$149,10,(F$150-'Indicator Data'!AG86)/(F$150-F$149)*10)))</f>
        <v>5.2200000000000006</v>
      </c>
      <c r="G84" s="144">
        <f>IF(OR('Indicator Data'!AE86=0,'Indicator Data'!AE86="No data"),"x",IF('Indicator Data'!AE86&gt;G$150,0,IF('Indicator Data'!AE86&lt;G$149,10,(G$150-'Indicator Data'!AE86)/(G$150-G$149)*10)))</f>
        <v>8.379999999999999</v>
      </c>
      <c r="H84" s="144">
        <f>IF(OR('Indicator Data'!AF86=0,'Indicator Data'!AF86="No data"),"x",IF('Indicator Data'!AF86&gt;H$150,0,IF('Indicator Data'!AF86&lt;H$149,10,(H$150-'Indicator Data'!AF86)/(H$150-H$149)*10)))</f>
        <v>7.7</v>
      </c>
      <c r="I84" s="144">
        <f t="shared" si="17"/>
        <v>7.1000000000000005</v>
      </c>
      <c r="J84" s="49">
        <f t="shared" si="19"/>
        <v>7.1563497766756603</v>
      </c>
      <c r="K84" s="13">
        <f>IF('Indicator Data'!K86="No data","x",IF('Indicator Data'!K86&gt;K$150,10,IF('Indicator Data'!K86&lt;K$149,0,10-(K$150-'Indicator Data'!K86)/(K$150-K$149)*10)))</f>
        <v>8.7053333333333338</v>
      </c>
      <c r="L84" s="13">
        <f>IF('Indicator Data'!L86="No data","x",IF('Indicator Data'!L86&gt;L$150,10,IF('Indicator Data'!L86&lt;L$149,0,10-(L$150-'Indicator Data'!L86)/(L$150-L$149)*10)))</f>
        <v>0.82499999999999929</v>
      </c>
      <c r="M84" s="13">
        <f>IF('Indicator Data'!M86="No data","x",IF('Indicator Data'!M86&gt;M$150,10,IF('Indicator Data'!M86&lt;M$149,0,10-(M$150-'Indicator Data'!M86)/(M$150-M$149)*10)))</f>
        <v>3.1759799999999991</v>
      </c>
      <c r="N84" s="144"/>
      <c r="O84" s="49">
        <f t="shared" si="20"/>
        <v>4.2354377777777774</v>
      </c>
      <c r="P84" s="42">
        <f t="shared" si="21"/>
        <v>6.1827124437096996</v>
      </c>
      <c r="Q84" s="33">
        <f>'Indicator Data'!AA86</f>
        <v>178079</v>
      </c>
      <c r="R84" s="13">
        <f t="shared" si="22"/>
        <v>7.5020423607440598</v>
      </c>
      <c r="S84" s="38">
        <f>Q84/'Indicator Data'!AN86</f>
        <v>0.17648411307018474</v>
      </c>
      <c r="T84" s="13">
        <f t="shared" si="23"/>
        <v>10</v>
      </c>
      <c r="U84" s="14">
        <f t="shared" si="24"/>
        <v>8.7510211803720299</v>
      </c>
      <c r="V84" s="33">
        <f>IF('Indicator Data'!Z86="",VLOOKUP($B84,'Indicator Data (national)'!$B$5:$AA$14,26,FALSE),'Indicator Data'!Z86)</f>
        <v>412000</v>
      </c>
      <c r="W84" s="13">
        <f t="shared" si="25"/>
        <v>8.7163240534437811</v>
      </c>
      <c r="X84" s="38">
        <f>IF('Indicator Data'!Z86="",V84/VLOOKUP($B84,'Indicator Data (national)'!$B$5:$AM$14,38,FALSE),V84/'Indicator Data'!AN86)</f>
        <v>9.2889676306758782E-3</v>
      </c>
      <c r="Y84" s="13">
        <f t="shared" si="26"/>
        <v>5.5272616817033251</v>
      </c>
      <c r="Z84" s="14">
        <f t="shared" si="27"/>
        <v>7.1217928675735536</v>
      </c>
      <c r="AA84" s="149">
        <f t="shared" si="28"/>
        <v>7.9364070239727917</v>
      </c>
      <c r="AB84" s="33">
        <f>VLOOKUP($B84,'Indicator Data (national)'!$B$5:$Z$14,25,FALSE)+VLOOKUP($B84,'Indicator Data (national)'!$B$5:$Z$14,24,FALSE)*0.5+VLOOKUP($B84,'Indicator Data (national)'!$B$5:$Z$14,23,FALSE)*0.25</f>
        <v>1063067</v>
      </c>
      <c r="AC84" s="39">
        <f>AB84/VLOOKUP($B84,'Indicator Data (national)'!$B$5:$AM$14,38,FALSE)</f>
        <v>2.3967948913203186E-2</v>
      </c>
      <c r="AD84" s="49">
        <f t="shared" si="29"/>
        <v>2.3967948913203188</v>
      </c>
      <c r="AE84" s="13">
        <f>IF('Indicator Data'!V86="No data","x",IF(('Indicator Data'!V86)&gt;AE$150,10,IF(('Indicator Data'!V86)&lt;AE$149,0,10-(AE$150-('Indicator Data'!V86))/(AE$150-AE$149)*10)))</f>
        <v>10</v>
      </c>
      <c r="AF84" s="49">
        <f t="shared" si="30"/>
        <v>10</v>
      </c>
      <c r="AG84" s="34">
        <f t="shared" si="31"/>
        <v>7.999427711800486</v>
      </c>
      <c r="AH84" s="52">
        <f t="shared" si="18"/>
        <v>7.587832048507237</v>
      </c>
    </row>
    <row r="85" spans="1:34" s="11" customFormat="1" x14ac:dyDescent="0.25">
      <c r="A85" s="16" t="s">
        <v>452</v>
      </c>
      <c r="B85" s="11" t="s">
        <v>576</v>
      </c>
      <c r="C85" s="126" t="s">
        <v>677</v>
      </c>
      <c r="D85" s="13">
        <f>IF('Indicator Data'!I87="No data","x",IF('Indicator Data'!I87&gt;D$150,0,IF('Indicator Data'!I87&lt;D$149,10,(D$150-'Indicator Data'!I87)/(D$150-D$149)*10)))</f>
        <v>5.804615384615385</v>
      </c>
      <c r="E85" s="13">
        <f>IF('Indicator Data'!J87="No data","x",IF('Indicator Data'!J87&gt;E$150,10,IF('Indicator Data'!J87&lt;E$149,0,10-(E$150-'Indicator Data'!J87)/(E$150-E$149)*10)))</f>
        <v>4.1633699999999996</v>
      </c>
      <c r="F85" s="144">
        <f>IF(OR('Indicator Data'!AG87=0,'Indicator Data'!AG87="No data"),"x",IF('Indicator Data'!AG87&gt;F$150,0,IF('Indicator Data'!AG87&lt;F$149,10,(F$150-'Indicator Data'!AG87)/(F$150-F$149)*10)))</f>
        <v>5.2200000000000006</v>
      </c>
      <c r="G85" s="144">
        <f>IF(OR('Indicator Data'!AE87=0,'Indicator Data'!AE87="No data"),"x",IF('Indicator Data'!AE87&gt;G$150,0,IF('Indicator Data'!AE87&lt;G$149,10,(G$150-'Indicator Data'!AE87)/(G$150-G$149)*10)))</f>
        <v>8.379999999999999</v>
      </c>
      <c r="H85" s="144">
        <f>IF(OR('Indicator Data'!AF87=0,'Indicator Data'!AF87="No data"),"x",IF('Indicator Data'!AF87&gt;H$150,0,IF('Indicator Data'!AF87&lt;H$149,10,(H$150-'Indicator Data'!AF87)/(H$150-H$149)*10)))</f>
        <v>7.7</v>
      </c>
      <c r="I85" s="144">
        <f t="shared" si="17"/>
        <v>7.1000000000000005</v>
      </c>
      <c r="J85" s="49">
        <f t="shared" si="19"/>
        <v>5.0391955554639667</v>
      </c>
      <c r="K85" s="13">
        <f>IF('Indicator Data'!K87="No data","x",IF('Indicator Data'!K87&gt;K$150,10,IF('Indicator Data'!K87&lt;K$149,0,10-(K$150-'Indicator Data'!K87)/(K$150-K$149)*10)))</f>
        <v>8.3986666666666672</v>
      </c>
      <c r="L85" s="13">
        <f>IF('Indicator Data'!L87="No data","x",IF('Indicator Data'!L87&gt;L$150,10,IF('Indicator Data'!L87&lt;L$149,0,10-(L$150-'Indicator Data'!L87)/(L$150-L$149)*10)))</f>
        <v>2.9999999999999991</v>
      </c>
      <c r="M85" s="13">
        <f>IF('Indicator Data'!M87="No data","x",IF('Indicator Data'!M87&gt;M$150,10,IF('Indicator Data'!M87&lt;M$149,0,10-(M$150-'Indicator Data'!M87)/(M$150-M$149)*10)))</f>
        <v>3.1759799999999991</v>
      </c>
      <c r="N85" s="144"/>
      <c r="O85" s="49">
        <f t="shared" si="20"/>
        <v>4.8582155555555557</v>
      </c>
      <c r="P85" s="42">
        <f t="shared" si="21"/>
        <v>4.9788688888278294</v>
      </c>
      <c r="Q85" s="33">
        <f>'Indicator Data'!AA87</f>
        <v>0</v>
      </c>
      <c r="R85" s="13">
        <f t="shared" si="22"/>
        <v>0</v>
      </c>
      <c r="S85" s="38">
        <f>Q85/'Indicator Data'!AN87</f>
        <v>0</v>
      </c>
      <c r="T85" s="13">
        <f t="shared" si="23"/>
        <v>0</v>
      </c>
      <c r="U85" s="14">
        <f t="shared" si="24"/>
        <v>0</v>
      </c>
      <c r="V85" s="33">
        <f>IF('Indicator Data'!Z87="",VLOOKUP($B85,'Indicator Data (national)'!$B$5:$AA$14,26,FALSE),'Indicator Data'!Z87)</f>
        <v>412000</v>
      </c>
      <c r="W85" s="13">
        <f t="shared" si="25"/>
        <v>8.7163240534437811</v>
      </c>
      <c r="X85" s="38">
        <f>IF('Indicator Data'!Z87="",V85/VLOOKUP($B85,'Indicator Data (national)'!$B$5:$AM$14,38,FALSE),V85/'Indicator Data'!AN87)</f>
        <v>9.2889676306758782E-3</v>
      </c>
      <c r="Y85" s="13">
        <f t="shared" si="26"/>
        <v>5.5272616817033251</v>
      </c>
      <c r="Z85" s="14">
        <f t="shared" si="27"/>
        <v>7.1217928675735536</v>
      </c>
      <c r="AA85" s="149">
        <f t="shared" si="28"/>
        <v>3.5608964337867768</v>
      </c>
      <c r="AB85" s="33">
        <f>VLOOKUP($B85,'Indicator Data (national)'!$B$5:$Z$14,25,FALSE)+VLOOKUP($B85,'Indicator Data (national)'!$B$5:$Z$14,24,FALSE)*0.5+VLOOKUP($B85,'Indicator Data (national)'!$B$5:$Z$14,23,FALSE)*0.25</f>
        <v>1063067</v>
      </c>
      <c r="AC85" s="39">
        <f>AB85/VLOOKUP($B85,'Indicator Data (national)'!$B$5:$AM$14,38,FALSE)</f>
        <v>2.3967948913203186E-2</v>
      </c>
      <c r="AD85" s="49">
        <f t="shared" si="29"/>
        <v>2.3967948913203188</v>
      </c>
      <c r="AE85" s="13">
        <f>IF('Indicator Data'!V87="No data","x",IF(('Indicator Data'!V87)&gt;AE$150,10,IF(('Indicator Data'!V87)&lt;AE$149,0,10-(AE$150-('Indicator Data'!V87))/(AE$150-AE$149)*10)))</f>
        <v>0</v>
      </c>
      <c r="AF85" s="49">
        <f t="shared" si="30"/>
        <v>0</v>
      </c>
      <c r="AG85" s="34">
        <f t="shared" si="31"/>
        <v>1.2711042119543197</v>
      </c>
      <c r="AH85" s="52">
        <f t="shared" si="18"/>
        <v>4.8457364982614042</v>
      </c>
    </row>
    <row r="86" spans="1:34" s="11" customFormat="1" x14ac:dyDescent="0.25">
      <c r="A86" s="16" t="s">
        <v>453</v>
      </c>
      <c r="B86" s="11" t="s">
        <v>576</v>
      </c>
      <c r="C86" s="126" t="s">
        <v>678</v>
      </c>
      <c r="D86" s="13">
        <f>IF('Indicator Data'!I88="No data","x",IF('Indicator Data'!I88&gt;D$150,0,IF('Indicator Data'!I88&lt;D$149,10,(D$150-'Indicator Data'!I88)/(D$150-D$149)*10)))</f>
        <v>6.9184615384615391</v>
      </c>
      <c r="E86" s="13">
        <f>IF('Indicator Data'!J88="No data","x",IF('Indicator Data'!J88&gt;E$150,10,IF('Indicator Data'!J88&lt;E$149,0,10-(E$150-'Indicator Data'!J88)/(E$150-E$149)*10)))</f>
        <v>4.2338516666666672</v>
      </c>
      <c r="F86" s="144">
        <f>IF(OR('Indicator Data'!AG88=0,'Indicator Data'!AG88="No data"),"x",IF('Indicator Data'!AG88&gt;F$150,0,IF('Indicator Data'!AG88&lt;F$149,10,(F$150-'Indicator Data'!AG88)/(F$150-F$149)*10)))</f>
        <v>3.5900000000000003</v>
      </c>
      <c r="G86" s="144">
        <f>IF(OR('Indicator Data'!AE88=0,'Indicator Data'!AE88="No data"),"x",IF('Indicator Data'!AE88&gt;G$150,0,IF('Indicator Data'!AE88&lt;G$149,10,(G$150-'Indicator Data'!AE88)/(G$150-G$149)*10)))</f>
        <v>9.5400000000000009</v>
      </c>
      <c r="H86" s="144">
        <f>IF(OR('Indicator Data'!AF88=0,'Indicator Data'!AF88="No data"),"x",IF('Indicator Data'!AF88&gt;H$150,0,IF('Indicator Data'!AF88&lt;H$149,10,(H$150-'Indicator Data'!AF88)/(H$150-H$149)*10)))</f>
        <v>7.05</v>
      </c>
      <c r="I86" s="144">
        <f t="shared" si="17"/>
        <v>6.7266666666666666</v>
      </c>
      <c r="J86" s="49">
        <f t="shared" si="19"/>
        <v>5.7413868285477845</v>
      </c>
      <c r="K86" s="13">
        <f>IF('Indicator Data'!K88="No data","x",IF('Indicator Data'!K88&gt;K$150,10,IF('Indicator Data'!K88&lt;K$149,0,10-(K$150-'Indicator Data'!K88)/(K$150-K$149)*10)))</f>
        <v>8.3613333333333326</v>
      </c>
      <c r="L86" s="13">
        <f>IF('Indicator Data'!L88="No data","x",IF('Indicator Data'!L88&gt;L$150,10,IF('Indicator Data'!L88&lt;L$149,0,10-(L$150-'Indicator Data'!L88)/(L$150-L$149)*10)))</f>
        <v>3.7249999999999996</v>
      </c>
      <c r="M86" s="13">
        <f>IF('Indicator Data'!M88="No data","x",IF('Indicator Data'!M88&gt;M$150,10,IF('Indicator Data'!M88&lt;M$149,0,10-(M$150-'Indicator Data'!M88)/(M$150-M$149)*10)))</f>
        <v>1.1778906666666664</v>
      </c>
      <c r="N86" s="144"/>
      <c r="O86" s="49">
        <f t="shared" si="20"/>
        <v>4.4214079999999996</v>
      </c>
      <c r="P86" s="42">
        <f t="shared" si="21"/>
        <v>5.3013938856985225</v>
      </c>
      <c r="Q86" s="33">
        <f>'Indicator Data'!AA88</f>
        <v>0</v>
      </c>
      <c r="R86" s="13">
        <f t="shared" si="22"/>
        <v>0</v>
      </c>
      <c r="S86" s="38">
        <f>Q86/'Indicator Data'!AN88</f>
        <v>0</v>
      </c>
      <c r="T86" s="13">
        <f t="shared" si="23"/>
        <v>0</v>
      </c>
      <c r="U86" s="14">
        <f t="shared" si="24"/>
        <v>0</v>
      </c>
      <c r="V86" s="33">
        <f>IF('Indicator Data'!Z88="",VLOOKUP($B86,'Indicator Data (national)'!$B$5:$AA$14,26,FALSE),'Indicator Data'!Z88)</f>
        <v>412000</v>
      </c>
      <c r="W86" s="13">
        <f t="shared" si="25"/>
        <v>8.7163240534437811</v>
      </c>
      <c r="X86" s="38">
        <f>IF('Indicator Data'!Z88="",V86/VLOOKUP($B86,'Indicator Data (national)'!$B$5:$AM$14,38,FALSE),V86/'Indicator Data'!AN88)</f>
        <v>9.2889676306758782E-3</v>
      </c>
      <c r="Y86" s="13">
        <f t="shared" si="26"/>
        <v>5.5272616817033251</v>
      </c>
      <c r="Z86" s="14">
        <f t="shared" si="27"/>
        <v>7.1217928675735536</v>
      </c>
      <c r="AA86" s="149">
        <f t="shared" si="28"/>
        <v>3.5608964337867768</v>
      </c>
      <c r="AB86" s="33">
        <f>VLOOKUP($B86,'Indicator Data (national)'!$B$5:$Z$14,25,FALSE)+VLOOKUP($B86,'Indicator Data (national)'!$B$5:$Z$14,24,FALSE)*0.5+VLOOKUP($B86,'Indicator Data (national)'!$B$5:$Z$14,23,FALSE)*0.25</f>
        <v>1063067</v>
      </c>
      <c r="AC86" s="39">
        <f>AB86/VLOOKUP($B86,'Indicator Data (national)'!$B$5:$AM$14,38,FALSE)</f>
        <v>2.3967948913203186E-2</v>
      </c>
      <c r="AD86" s="49">
        <f t="shared" si="29"/>
        <v>2.3967948913203188</v>
      </c>
      <c r="AE86" s="13">
        <f>IF('Indicator Data'!V88="No data","x",IF(('Indicator Data'!V88)&gt;AE$150,10,IF(('Indicator Data'!V88)&lt;AE$149,0,10-(AE$150-('Indicator Data'!V88))/(AE$150-AE$149)*10)))</f>
        <v>0</v>
      </c>
      <c r="AF86" s="49">
        <f t="shared" si="30"/>
        <v>0</v>
      </c>
      <c r="AG86" s="34">
        <f t="shared" si="31"/>
        <v>1.2711042119543197</v>
      </c>
      <c r="AH86" s="52">
        <f t="shared" si="18"/>
        <v>4.8457364982614042</v>
      </c>
    </row>
    <row r="87" spans="1:34" s="11" customFormat="1" x14ac:dyDescent="0.25">
      <c r="A87" s="16" t="s">
        <v>454</v>
      </c>
      <c r="B87" s="11" t="s">
        <v>576</v>
      </c>
      <c r="C87" s="126" t="s">
        <v>679</v>
      </c>
      <c r="D87" s="13">
        <f>IF('Indicator Data'!I89="No data","x",IF('Indicator Data'!I89&gt;D$150,0,IF('Indicator Data'!I89&lt;D$149,10,(D$150-'Indicator Data'!I89)/(D$150-D$149)*10)))</f>
        <v>8.1353846153846163</v>
      </c>
      <c r="E87" s="13">
        <f>IF('Indicator Data'!J89="No data","x",IF('Indicator Data'!J89&gt;E$150,10,IF('Indicator Data'!J89&lt;E$149,0,10-(E$150-'Indicator Data'!J89)/(E$150-E$149)*10)))</f>
        <v>8.6053950000000015</v>
      </c>
      <c r="F87" s="144">
        <f>IF(OR('Indicator Data'!AG89=0,'Indicator Data'!AG89="No data"),"x",IF('Indicator Data'!AG89&gt;F$150,0,IF('Indicator Data'!AG89&lt;F$149,10,(F$150-'Indicator Data'!AG89)/(F$150-F$149)*10)))</f>
        <v>5.7600000000000007</v>
      </c>
      <c r="G87" s="144">
        <f>IF(OR('Indicator Data'!AE89=0,'Indicator Data'!AE89="No data"),"x",IF('Indicator Data'!AE89&gt;G$150,0,IF('Indicator Data'!AE89&lt;G$149,10,(G$150-'Indicator Data'!AE89)/(G$150-G$149)*10)))</f>
        <v>9.01</v>
      </c>
      <c r="H87" s="144">
        <f>IF(OR('Indicator Data'!AF89=0,'Indicator Data'!AF89="No data"),"x",IF('Indicator Data'!AF89&gt;H$150,0,IF('Indicator Data'!AF89&lt;H$149,10,(H$150-'Indicator Data'!AF89)/(H$150-H$149)*10)))</f>
        <v>9.15</v>
      </c>
      <c r="I87" s="144">
        <f t="shared" si="17"/>
        <v>7.9733333333333336</v>
      </c>
      <c r="J87" s="49">
        <f t="shared" si="19"/>
        <v>8.3804837431602799</v>
      </c>
      <c r="K87" s="13">
        <f>IF('Indicator Data'!K89="No data","x",IF('Indicator Data'!K89&gt;K$150,10,IF('Indicator Data'!K89&lt;K$149,0,10-(K$150-'Indicator Data'!K89)/(K$150-K$149)*10)))</f>
        <v>9.7573333333333334</v>
      </c>
      <c r="L87" s="13">
        <f>IF('Indicator Data'!L89="No data","x",IF('Indicator Data'!L89&gt;L$150,10,IF('Indicator Data'!L89&lt;L$149,0,10-(L$150-'Indicator Data'!L89)/(L$150-L$149)*10)))</f>
        <v>1.7750000000000004</v>
      </c>
      <c r="M87" s="13">
        <f>IF('Indicator Data'!M89="No data","x",IF('Indicator Data'!M89&gt;M$150,10,IF('Indicator Data'!M89&lt;M$149,0,10-(M$150-'Indicator Data'!M89)/(M$150-M$149)*10)))</f>
        <v>3.0395586666666663</v>
      </c>
      <c r="N87" s="144"/>
      <c r="O87" s="49">
        <f t="shared" si="20"/>
        <v>4.8572973333333334</v>
      </c>
      <c r="P87" s="42">
        <f t="shared" si="21"/>
        <v>7.206088273217965</v>
      </c>
      <c r="Q87" s="33">
        <f>'Indicator Data'!AA89</f>
        <v>0</v>
      </c>
      <c r="R87" s="13">
        <f t="shared" si="22"/>
        <v>0</v>
      </c>
      <c r="S87" s="38">
        <f>Q87/'Indicator Data'!AN89</f>
        <v>0</v>
      </c>
      <c r="T87" s="13">
        <f t="shared" si="23"/>
        <v>0</v>
      </c>
      <c r="U87" s="14">
        <f t="shared" si="24"/>
        <v>0</v>
      </c>
      <c r="V87" s="33">
        <f>IF('Indicator Data'!Z89="",VLOOKUP($B87,'Indicator Data (national)'!$B$5:$AA$14,26,FALSE),'Indicator Data'!Z89)</f>
        <v>412000</v>
      </c>
      <c r="W87" s="13">
        <f t="shared" si="25"/>
        <v>8.7163240534437811</v>
      </c>
      <c r="X87" s="38">
        <f>IF('Indicator Data'!Z89="",V87/VLOOKUP($B87,'Indicator Data (national)'!$B$5:$AM$14,38,FALSE),V87/'Indicator Data'!AN89)</f>
        <v>9.2889676306758782E-3</v>
      </c>
      <c r="Y87" s="13">
        <f t="shared" si="26"/>
        <v>5.5272616817033251</v>
      </c>
      <c r="Z87" s="14">
        <f t="shared" si="27"/>
        <v>7.1217928675735536</v>
      </c>
      <c r="AA87" s="149">
        <f t="shared" si="28"/>
        <v>3.5608964337867768</v>
      </c>
      <c r="AB87" s="33">
        <f>VLOOKUP($B87,'Indicator Data (national)'!$B$5:$Z$14,25,FALSE)+VLOOKUP($B87,'Indicator Data (national)'!$B$5:$Z$14,24,FALSE)*0.5+VLOOKUP($B87,'Indicator Data (national)'!$B$5:$Z$14,23,FALSE)*0.25</f>
        <v>1063067</v>
      </c>
      <c r="AC87" s="39">
        <f>AB87/VLOOKUP($B87,'Indicator Data (national)'!$B$5:$AM$14,38,FALSE)</f>
        <v>2.3967948913203186E-2</v>
      </c>
      <c r="AD87" s="49">
        <f t="shared" si="29"/>
        <v>2.3967948913203188</v>
      </c>
      <c r="AE87" s="13">
        <f>IF('Indicator Data'!V89="No data","x",IF(('Indicator Data'!V89)&gt;AE$150,10,IF(('Indicator Data'!V89)&lt;AE$149,0,10-(AE$150-('Indicator Data'!V89))/(AE$150-AE$149)*10)))</f>
        <v>10</v>
      </c>
      <c r="AF87" s="49">
        <f t="shared" si="30"/>
        <v>10</v>
      </c>
      <c r="AG87" s="34">
        <f t="shared" si="31"/>
        <v>7.999427711800486</v>
      </c>
      <c r="AH87" s="52">
        <f t="shared" si="18"/>
        <v>7.587832048507237</v>
      </c>
    </row>
    <row r="88" spans="1:34" s="11" customFormat="1" x14ac:dyDescent="0.25">
      <c r="A88" s="16" t="s">
        <v>455</v>
      </c>
      <c r="B88" s="11" t="s">
        <v>576</v>
      </c>
      <c r="C88" s="126" t="s">
        <v>680</v>
      </c>
      <c r="D88" s="13">
        <f>IF('Indicator Data'!I90="No data","x",IF('Indicator Data'!I90&gt;D$150,0,IF('Indicator Data'!I90&lt;D$149,10,(D$150-'Indicator Data'!I90)/(D$150-D$149)*10)))</f>
        <v>7.643076923076924</v>
      </c>
      <c r="E88" s="13">
        <f>IF('Indicator Data'!J90="No data","x",IF('Indicator Data'!J90&gt;E$150,10,IF('Indicator Data'!J90&lt;E$149,0,10-(E$150-'Indicator Data'!J90)/(E$150-E$149)*10)))</f>
        <v>4.1633699999999996</v>
      </c>
      <c r="F88" s="144">
        <f>IF(OR('Indicator Data'!AG90=0,'Indicator Data'!AG90="No data"),"x",IF('Indicator Data'!AG90&gt;F$150,0,IF('Indicator Data'!AG90&lt;F$149,10,(F$150-'Indicator Data'!AG90)/(F$150-F$149)*10)))</f>
        <v>5.2200000000000006</v>
      </c>
      <c r="G88" s="144">
        <f>IF(OR('Indicator Data'!AE90=0,'Indicator Data'!AE90="No data"),"x",IF('Indicator Data'!AE90&gt;G$150,0,IF('Indicator Data'!AE90&lt;G$149,10,(G$150-'Indicator Data'!AE90)/(G$150-G$149)*10)))</f>
        <v>8.379999999999999</v>
      </c>
      <c r="H88" s="144">
        <f>IF(OR('Indicator Data'!AF90=0,'Indicator Data'!AF90="No data"),"x",IF('Indicator Data'!AF90&gt;H$150,0,IF('Indicator Data'!AF90&lt;H$149,10,(H$150-'Indicator Data'!AF90)/(H$150-H$149)*10)))</f>
        <v>7.7</v>
      </c>
      <c r="I88" s="144">
        <f t="shared" si="17"/>
        <v>7.1000000000000005</v>
      </c>
      <c r="J88" s="49">
        <f t="shared" si="19"/>
        <v>6.2024449274168125</v>
      </c>
      <c r="K88" s="13">
        <f>IF('Indicator Data'!K90="No data","x",IF('Indicator Data'!K90&gt;K$150,10,IF('Indicator Data'!K90&lt;K$149,0,10-(K$150-'Indicator Data'!K90)/(K$150-K$149)*10)))</f>
        <v>8.7253333333333334</v>
      </c>
      <c r="L88" s="13">
        <f>IF('Indicator Data'!L90="No data","x",IF('Indicator Data'!L90&gt;L$150,10,IF('Indicator Data'!L90&lt;L$149,0,10-(L$150-'Indicator Data'!L90)/(L$150-L$149)*10)))</f>
        <v>1.7000000000000011</v>
      </c>
      <c r="M88" s="13">
        <f>IF('Indicator Data'!M90="No data","x",IF('Indicator Data'!M90&gt;M$150,10,IF('Indicator Data'!M90&lt;M$149,0,10-(M$150-'Indicator Data'!M90)/(M$150-M$149)*10)))</f>
        <v>3.1759799999999991</v>
      </c>
      <c r="N88" s="144"/>
      <c r="O88" s="49">
        <f t="shared" si="20"/>
        <v>4.5337711111111112</v>
      </c>
      <c r="P88" s="42">
        <f t="shared" si="21"/>
        <v>5.6462203219815779</v>
      </c>
      <c r="Q88" s="33">
        <f>'Indicator Data'!AA90</f>
        <v>0</v>
      </c>
      <c r="R88" s="13">
        <f t="shared" si="22"/>
        <v>0</v>
      </c>
      <c r="S88" s="38">
        <f>Q88/'Indicator Data'!AN90</f>
        <v>0</v>
      </c>
      <c r="T88" s="13">
        <f t="shared" si="23"/>
        <v>0</v>
      </c>
      <c r="U88" s="14">
        <f t="shared" si="24"/>
        <v>0</v>
      </c>
      <c r="V88" s="33">
        <f>IF('Indicator Data'!Z90="",VLOOKUP($B88,'Indicator Data (national)'!$B$5:$AA$14,26,FALSE),'Indicator Data'!Z90)</f>
        <v>412000</v>
      </c>
      <c r="W88" s="13">
        <f t="shared" si="25"/>
        <v>8.7163240534437811</v>
      </c>
      <c r="X88" s="38">
        <f>IF('Indicator Data'!Z90="",V88/VLOOKUP($B88,'Indicator Data (national)'!$B$5:$AM$14,38,FALSE),V88/'Indicator Data'!AN90)</f>
        <v>9.2889676306758782E-3</v>
      </c>
      <c r="Y88" s="13">
        <f t="shared" si="26"/>
        <v>5.5272616817033251</v>
      </c>
      <c r="Z88" s="14">
        <f t="shared" si="27"/>
        <v>7.1217928675735536</v>
      </c>
      <c r="AA88" s="149">
        <f t="shared" si="28"/>
        <v>3.5608964337867768</v>
      </c>
      <c r="AB88" s="33">
        <f>VLOOKUP($B88,'Indicator Data (national)'!$B$5:$Z$14,25,FALSE)+VLOOKUP($B88,'Indicator Data (national)'!$B$5:$Z$14,24,FALSE)*0.5+VLOOKUP($B88,'Indicator Data (national)'!$B$5:$Z$14,23,FALSE)*0.25</f>
        <v>1063067</v>
      </c>
      <c r="AC88" s="39">
        <f>AB88/VLOOKUP($B88,'Indicator Data (national)'!$B$5:$AM$14,38,FALSE)</f>
        <v>2.3967948913203186E-2</v>
      </c>
      <c r="AD88" s="49">
        <f t="shared" si="29"/>
        <v>2.3967948913203188</v>
      </c>
      <c r="AE88" s="13">
        <f>IF('Indicator Data'!V90="No data","x",IF(('Indicator Data'!V90)&gt;AE$150,10,IF(('Indicator Data'!V90)&lt;AE$149,0,10-(AE$150-('Indicator Data'!V90))/(AE$150-AE$149)*10)))</f>
        <v>5.2631578947368425</v>
      </c>
      <c r="AF88" s="49">
        <f t="shared" si="30"/>
        <v>5.2631578947368425</v>
      </c>
      <c r="AG88" s="34">
        <f t="shared" si="31"/>
        <v>3.9724198048541988</v>
      </c>
      <c r="AH88" s="52">
        <f t="shared" si="18"/>
        <v>5.7745849504862381</v>
      </c>
    </row>
    <row r="89" spans="1:34" s="11" customFormat="1" x14ac:dyDescent="0.25">
      <c r="A89" s="16" t="s">
        <v>457</v>
      </c>
      <c r="B89" s="11" t="s">
        <v>577</v>
      </c>
      <c r="C89" s="126" t="s">
        <v>458</v>
      </c>
      <c r="D89" s="13">
        <f>IF('Indicator Data'!I91="No data","x",IF('Indicator Data'!I91&gt;D$150,0,IF('Indicator Data'!I91&lt;D$149,10,(D$150-'Indicator Data'!I91)/(D$150-D$149)*10)))</f>
        <v>6.8350289340928407</v>
      </c>
      <c r="E89" s="13">
        <f>IF('Indicator Data'!J91="No data","x",IF('Indicator Data'!J91&gt;E$150,10,IF('Indicator Data'!J91&lt;E$149,0,10-(E$150-'Indicator Data'!J91)/(E$150-E$149)*10)))</f>
        <v>6.3178900000000002</v>
      </c>
      <c r="F89" s="144">
        <f>IF(OR('Indicator Data'!AG91=0,'Indicator Data'!AG91="No data"),"x",IF('Indicator Data'!AG91&gt;F$150,0,IF('Indicator Data'!AG91&lt;F$149,10,(F$150-'Indicator Data'!AG91)/(F$150-F$149)*10)))</f>
        <v>6.02</v>
      </c>
      <c r="G89" s="144">
        <f>IF(OR('Indicator Data'!AE91=0,'Indicator Data'!AE91="No data"),"x",IF('Indicator Data'!AE91&gt;G$150,0,IF('Indicator Data'!AE91&lt;G$149,10,(G$150-'Indicator Data'!AE91)/(G$150-G$149)*10)))</f>
        <v>9.61</v>
      </c>
      <c r="H89" s="144">
        <f>IF(OR('Indicator Data'!AF91=0,'Indicator Data'!AF91="No data"),"x",IF('Indicator Data'!AF91&gt;H$150,0,IF('Indicator Data'!AF91&lt;H$149,10,(H$150-'Indicator Data'!AF91)/(H$150-H$149)*10)))</f>
        <v>2.98</v>
      </c>
      <c r="I89" s="144">
        <f t="shared" si="17"/>
        <v>6.2033333333333331</v>
      </c>
      <c r="J89" s="49">
        <f t="shared" si="19"/>
        <v>6.5838373880267724</v>
      </c>
      <c r="K89" s="13">
        <f>IF('Indicator Data'!K91="No data","x",IF('Indicator Data'!K91&gt;K$150,10,IF('Indicator Data'!K91&lt;K$149,0,10-(K$150-'Indicator Data'!K91)/(K$150-K$149)*10)))</f>
        <v>5.4672797576792327</v>
      </c>
      <c r="L89" s="13">
        <f>IF('Indicator Data'!L91="No data","x",IF('Indicator Data'!L91&gt;L$150,10,IF('Indicator Data'!L91&lt;L$149,0,10-(L$150-'Indicator Data'!L91)/(L$150-L$149)*10)))</f>
        <v>6.4499999999999993</v>
      </c>
      <c r="M89" s="13">
        <f>IF('Indicator Data'!M91="No data","x",IF('Indicator Data'!M91&gt;M$150,10,IF('Indicator Data'!M91&lt;M$149,0,10-(M$150-'Indicator Data'!M91)/(M$150-M$149)*10)))</f>
        <v>2.2907866666666665</v>
      </c>
      <c r="N89" s="144"/>
      <c r="O89" s="49">
        <f t="shared" si="20"/>
        <v>4.7360221414486325</v>
      </c>
      <c r="P89" s="42">
        <f t="shared" si="21"/>
        <v>5.9678989725007261</v>
      </c>
      <c r="Q89" s="33">
        <f>'Indicator Data'!AA91</f>
        <v>14788</v>
      </c>
      <c r="R89" s="13">
        <f t="shared" si="22"/>
        <v>3.8996981396702299</v>
      </c>
      <c r="S89" s="38">
        <f>Q89/'Indicator Data'!AN91</f>
        <v>4.905507284452746E-3</v>
      </c>
      <c r="T89" s="13">
        <f t="shared" si="23"/>
        <v>4.7219452401570612</v>
      </c>
      <c r="U89" s="14">
        <f t="shared" si="24"/>
        <v>4.3108216899136451</v>
      </c>
      <c r="V89" s="33">
        <f>IF('Indicator Data'!Z91="",VLOOKUP($B89,'Indicator Data (national)'!$B$5:$AA$14,26,FALSE),'Indicator Data'!Z91)</f>
        <v>0</v>
      </c>
      <c r="W89" s="13">
        <f t="shared" si="25"/>
        <v>0</v>
      </c>
      <c r="X89" s="38">
        <f>IF('Indicator Data'!Z91="",V89/VLOOKUP($B89,'Indicator Data (national)'!$B$5:$AM$14,38,FALSE),V89/'Indicator Data'!AN91)</f>
        <v>0</v>
      </c>
      <c r="Y89" s="13">
        <f t="shared" si="26"/>
        <v>0</v>
      </c>
      <c r="Z89" s="14">
        <f t="shared" si="27"/>
        <v>0</v>
      </c>
      <c r="AA89" s="149">
        <f t="shared" si="28"/>
        <v>2.1554108449568226</v>
      </c>
      <c r="AB89" s="33">
        <f>VLOOKUP($B89,'Indicator Data (national)'!$B$5:$Z$14,25,FALSE)+VLOOKUP($B89,'Indicator Data (national)'!$B$5:$Z$14,24,FALSE)*0.5+VLOOKUP($B89,'Indicator Data (national)'!$B$5:$Z$14,23,FALSE)*0.25</f>
        <v>2790</v>
      </c>
      <c r="AC89" s="39">
        <f>AB89/VLOOKUP($B89,'Indicator Data (national)'!$B$5:$AM$14,38,FALSE)</f>
        <v>2.3691205264168827E-4</v>
      </c>
      <c r="AD89" s="49">
        <f t="shared" si="29"/>
        <v>2.3691205264169568E-2</v>
      </c>
      <c r="AE89" s="13">
        <f>IF('Indicator Data'!V91="No data","x",IF(('Indicator Data'!V91)&gt;AE$150,10,IF(('Indicator Data'!V91)&lt;AE$149,0,10-(AE$150-('Indicator Data'!V91))/(AE$150-AE$149)*10)))</f>
        <v>0</v>
      </c>
      <c r="AF89" s="49">
        <f t="shared" si="30"/>
        <v>0</v>
      </c>
      <c r="AG89" s="34">
        <f t="shared" si="31"/>
        <v>1.1851923696373962E-2</v>
      </c>
      <c r="AH89" s="52">
        <f t="shared" si="18"/>
        <v>5.9275429576347936E-3</v>
      </c>
    </row>
    <row r="90" spans="1:34" s="11" customFormat="1" x14ac:dyDescent="0.25">
      <c r="A90" s="16" t="s">
        <v>459</v>
      </c>
      <c r="B90" s="11" t="s">
        <v>577</v>
      </c>
      <c r="C90" s="126" t="s">
        <v>460</v>
      </c>
      <c r="D90" s="13">
        <f>IF('Indicator Data'!I92="No data","x",IF('Indicator Data'!I92&gt;D$150,0,IF('Indicator Data'!I92&lt;D$149,10,(D$150-'Indicator Data'!I92)/(D$150-D$149)*10)))</f>
        <v>6.8350289340928407</v>
      </c>
      <c r="E90" s="13">
        <f>IF('Indicator Data'!J92="No data","x",IF('Indicator Data'!J92&gt;E$150,10,IF('Indicator Data'!J92&lt;E$149,0,10-(E$150-'Indicator Data'!J92)/(E$150-E$149)*10)))</f>
        <v>5.9368916666666669</v>
      </c>
      <c r="F90" s="144">
        <f>IF(OR('Indicator Data'!AG92=0,'Indicator Data'!AG92="No data"),"x",IF('Indicator Data'!AG92&gt;F$150,0,IF('Indicator Data'!AG92&lt;F$149,10,(F$150-'Indicator Data'!AG92)/(F$150-F$149)*10)))</f>
        <v>5.4799999999999995</v>
      </c>
      <c r="G90" s="144">
        <f>IF(OR('Indicator Data'!AE92=0,'Indicator Data'!AE92="No data"),"x",IF('Indicator Data'!AE92&gt;G$150,0,IF('Indicator Data'!AE92&lt;G$149,10,(G$150-'Indicator Data'!AE92)/(G$150-G$149)*10)))</f>
        <v>9.5599999999999987</v>
      </c>
      <c r="H90" s="144">
        <f>IF(OR('Indicator Data'!AF92=0,'Indicator Data'!AF92="No data"),"x",IF('Indicator Data'!AF92&gt;H$150,0,IF('Indicator Data'!AF92&lt;H$149,10,(H$150-'Indicator Data'!AF92)/(H$150-H$149)*10)))</f>
        <v>3.55</v>
      </c>
      <c r="I90" s="144">
        <f t="shared" si="17"/>
        <v>6.1966666666666663</v>
      </c>
      <c r="J90" s="49">
        <f t="shared" si="19"/>
        <v>6.4073479850204418</v>
      </c>
      <c r="K90" s="13">
        <f>IF('Indicator Data'!K92="No data","x",IF('Indicator Data'!K92&gt;K$150,10,IF('Indicator Data'!K92&lt;K$149,0,10-(K$150-'Indicator Data'!K92)/(K$150-K$149)*10)))</f>
        <v>5.4672797576792327</v>
      </c>
      <c r="L90" s="13">
        <f>IF('Indicator Data'!L92="No data","x",IF('Indicator Data'!L92&gt;L$150,10,IF('Indicator Data'!L92&lt;L$149,0,10-(L$150-'Indicator Data'!L92)/(L$150-L$149)*10)))</f>
        <v>6.4499999999999993</v>
      </c>
      <c r="M90" s="13">
        <f>IF('Indicator Data'!M92="No data","x",IF('Indicator Data'!M92&gt;M$150,10,IF('Indicator Data'!M92&lt;M$149,0,10-(M$150-'Indicator Data'!M92)/(M$150-M$149)*10)))</f>
        <v>2.0745320000000014</v>
      </c>
      <c r="N90" s="144"/>
      <c r="O90" s="49">
        <f t="shared" si="20"/>
        <v>4.6639372525597445</v>
      </c>
      <c r="P90" s="42">
        <f t="shared" si="21"/>
        <v>5.8262110742002093</v>
      </c>
      <c r="Q90" s="33">
        <f>'Indicator Data'!AA92</f>
        <v>14828</v>
      </c>
      <c r="R90" s="13">
        <f t="shared" si="22"/>
        <v>3.9036085911917553</v>
      </c>
      <c r="S90" s="38">
        <f>Q90/'Indicator Data'!AN92</f>
        <v>6.460008547704863E-3</v>
      </c>
      <c r="T90" s="13">
        <f t="shared" si="23"/>
        <v>5.0536655561968979</v>
      </c>
      <c r="U90" s="14">
        <f t="shared" si="24"/>
        <v>4.4786370736943262</v>
      </c>
      <c r="V90" s="33">
        <f>IF('Indicator Data'!Z92="",VLOOKUP($B90,'Indicator Data (national)'!$B$5:$AA$14,26,FALSE),'Indicator Data'!Z92)</f>
        <v>0</v>
      </c>
      <c r="W90" s="13">
        <f t="shared" si="25"/>
        <v>0</v>
      </c>
      <c r="X90" s="38">
        <f>IF('Indicator Data'!Z92="",V90/VLOOKUP($B90,'Indicator Data (national)'!$B$5:$AM$14,38,FALSE),V90/'Indicator Data'!AN92)</f>
        <v>0</v>
      </c>
      <c r="Y90" s="13">
        <f t="shared" si="26"/>
        <v>0</v>
      </c>
      <c r="Z90" s="14">
        <f t="shared" si="27"/>
        <v>0</v>
      </c>
      <c r="AA90" s="149">
        <f t="shared" si="28"/>
        <v>2.2393185368471631</v>
      </c>
      <c r="AB90" s="33">
        <f>VLOOKUP($B90,'Indicator Data (national)'!$B$5:$Z$14,25,FALSE)+VLOOKUP($B90,'Indicator Data (national)'!$B$5:$Z$14,24,FALSE)*0.5+VLOOKUP($B90,'Indicator Data (national)'!$B$5:$Z$14,23,FALSE)*0.25</f>
        <v>2790</v>
      </c>
      <c r="AC90" s="39">
        <f>AB90/VLOOKUP($B90,'Indicator Data (national)'!$B$5:$AM$14,38,FALSE)</f>
        <v>2.3691205264168827E-4</v>
      </c>
      <c r="AD90" s="49">
        <f t="shared" si="29"/>
        <v>2.3691205264169568E-2</v>
      </c>
      <c r="AE90" s="13">
        <f>IF('Indicator Data'!V92="No data","x",IF(('Indicator Data'!V92)&gt;AE$150,10,IF(('Indicator Data'!V92)&lt;AE$149,0,10-(AE$150-('Indicator Data'!V92))/(AE$150-AE$149)*10)))</f>
        <v>0</v>
      </c>
      <c r="AF90" s="49">
        <f t="shared" si="30"/>
        <v>0</v>
      </c>
      <c r="AG90" s="34">
        <f t="shared" si="31"/>
        <v>1.1851923696373962E-2</v>
      </c>
      <c r="AH90" s="52">
        <f t="shared" si="18"/>
        <v>5.9275429576347936E-3</v>
      </c>
    </row>
    <row r="91" spans="1:34" s="11" customFormat="1" x14ac:dyDescent="0.25">
      <c r="A91" s="16" t="s">
        <v>461</v>
      </c>
      <c r="B91" s="11" t="s">
        <v>577</v>
      </c>
      <c r="C91" s="126" t="s">
        <v>462</v>
      </c>
      <c r="D91" s="13">
        <f>IF('Indicator Data'!I93="No data","x",IF('Indicator Data'!I93&gt;D$150,0,IF('Indicator Data'!I93&lt;D$149,10,(D$150-'Indicator Data'!I93)/(D$150-D$149)*10)))</f>
        <v>6.8350289340928407</v>
      </c>
      <c r="E91" s="13">
        <f>IF('Indicator Data'!J93="No data","x",IF('Indicator Data'!J93&gt;E$150,10,IF('Indicator Data'!J93&lt;E$149,0,10-(E$150-'Indicator Data'!J93)/(E$150-E$149)*10)))</f>
        <v>6.2113449999999997</v>
      </c>
      <c r="F91" s="144">
        <f>IF(OR('Indicator Data'!AG93=0,'Indicator Data'!AG93="No data"),"x",IF('Indicator Data'!AG93&gt;F$150,0,IF('Indicator Data'!AG93&lt;F$149,10,(F$150-'Indicator Data'!AG93)/(F$150-F$149)*10)))</f>
        <v>4.26</v>
      </c>
      <c r="G91" s="144">
        <f>IF(OR('Indicator Data'!AE93=0,'Indicator Data'!AE93="No data"),"x",IF('Indicator Data'!AE93&gt;G$150,0,IF('Indicator Data'!AE93&lt;G$149,10,(G$150-'Indicator Data'!AE93)/(G$150-G$149)*10)))</f>
        <v>9.2200000000000006</v>
      </c>
      <c r="H91" s="144">
        <f>IF(OR('Indicator Data'!AF93=0,'Indicator Data'!AF93="No data"),"x",IF('Indicator Data'!AF93&gt;H$150,0,IF('Indicator Data'!AF93&lt;H$149,10,(H$150-'Indicator Data'!AF93)/(H$150-H$149)*10)))</f>
        <v>3.91</v>
      </c>
      <c r="I91" s="144">
        <f t="shared" si="17"/>
        <v>5.7966666666666669</v>
      </c>
      <c r="J91" s="49">
        <f t="shared" si="19"/>
        <v>6.5337972110950391</v>
      </c>
      <c r="K91" s="13">
        <f>IF('Indicator Data'!K93="No data","x",IF('Indicator Data'!K93&gt;K$150,10,IF('Indicator Data'!K93&lt;K$149,0,10-(K$150-'Indicator Data'!K93)/(K$150-K$149)*10)))</f>
        <v>5.4672797576792327</v>
      </c>
      <c r="L91" s="13">
        <f>IF('Indicator Data'!L93="No data","x",IF('Indicator Data'!L93&gt;L$150,10,IF('Indicator Data'!L93&lt;L$149,0,10-(L$150-'Indicator Data'!L93)/(L$150-L$149)*10)))</f>
        <v>6.4499999999999993</v>
      </c>
      <c r="M91" s="13">
        <f>IF('Indicator Data'!M93="No data","x",IF('Indicator Data'!M93&gt;M$150,10,IF('Indicator Data'!M93&lt;M$149,0,10-(M$150-'Indicator Data'!M93)/(M$150-M$149)*10)))</f>
        <v>2.4616586666666675</v>
      </c>
      <c r="N91" s="144"/>
      <c r="O91" s="49">
        <f t="shared" si="20"/>
        <v>4.7929794747819665</v>
      </c>
      <c r="P91" s="42">
        <f t="shared" si="21"/>
        <v>5.9535246323240152</v>
      </c>
      <c r="Q91" s="33">
        <f>'Indicator Data'!AA93</f>
        <v>17033</v>
      </c>
      <c r="R91" s="13">
        <f t="shared" si="22"/>
        <v>4.1043038213944971</v>
      </c>
      <c r="S91" s="38">
        <f>Q91/'Indicator Data'!AN93</f>
        <v>6.3327141775762503E-3</v>
      </c>
      <c r="T91" s="13">
        <f t="shared" si="23"/>
        <v>5.0289201669243937</v>
      </c>
      <c r="U91" s="14">
        <f t="shared" si="24"/>
        <v>4.5666119941594454</v>
      </c>
      <c r="V91" s="33">
        <f>IF('Indicator Data'!Z93="",VLOOKUP($B91,'Indicator Data (national)'!$B$5:$AA$14,26,FALSE),'Indicator Data'!Z93)</f>
        <v>0</v>
      </c>
      <c r="W91" s="13">
        <f t="shared" si="25"/>
        <v>0</v>
      </c>
      <c r="X91" s="38">
        <f>IF('Indicator Data'!Z93="",V91/VLOOKUP($B91,'Indicator Data (national)'!$B$5:$AM$14,38,FALSE),V91/'Indicator Data'!AN93)</f>
        <v>0</v>
      </c>
      <c r="Y91" s="13">
        <f t="shared" si="26"/>
        <v>0</v>
      </c>
      <c r="Z91" s="14">
        <f t="shared" si="27"/>
        <v>0</v>
      </c>
      <c r="AA91" s="149">
        <f t="shared" si="28"/>
        <v>2.2833059970797227</v>
      </c>
      <c r="AB91" s="33">
        <f>VLOOKUP($B91,'Indicator Data (national)'!$B$5:$Z$14,25,FALSE)+VLOOKUP($B91,'Indicator Data (national)'!$B$5:$Z$14,24,FALSE)*0.5+VLOOKUP($B91,'Indicator Data (national)'!$B$5:$Z$14,23,FALSE)*0.25</f>
        <v>2790</v>
      </c>
      <c r="AC91" s="39">
        <f>AB91/VLOOKUP($B91,'Indicator Data (national)'!$B$5:$AM$14,38,FALSE)</f>
        <v>2.3691205264168827E-4</v>
      </c>
      <c r="AD91" s="49">
        <f t="shared" si="29"/>
        <v>2.3691205264169568E-2</v>
      </c>
      <c r="AE91" s="13">
        <f>IF('Indicator Data'!V93="No data","x",IF(('Indicator Data'!V93)&gt;AE$150,10,IF(('Indicator Data'!V93)&lt;AE$149,0,10-(AE$150-('Indicator Data'!V93))/(AE$150-AE$149)*10)))</f>
        <v>0</v>
      </c>
      <c r="AF91" s="49">
        <f t="shared" si="30"/>
        <v>0</v>
      </c>
      <c r="AG91" s="34">
        <f t="shared" si="31"/>
        <v>1.1851923696373962E-2</v>
      </c>
      <c r="AH91" s="52">
        <f t="shared" si="18"/>
        <v>5.9275429576347936E-3</v>
      </c>
    </row>
    <row r="92" spans="1:34" s="11" customFormat="1" x14ac:dyDescent="0.25">
      <c r="A92" s="16" t="s">
        <v>463</v>
      </c>
      <c r="B92" s="11" t="s">
        <v>577</v>
      </c>
      <c r="C92" s="126" t="s">
        <v>464</v>
      </c>
      <c r="D92" s="13">
        <f>IF('Indicator Data'!I94="No data","x",IF('Indicator Data'!I94&gt;D$150,0,IF('Indicator Data'!I94&lt;D$149,10,(D$150-'Indicator Data'!I94)/(D$150-D$149)*10)))</f>
        <v>6.8350289340928407</v>
      </c>
      <c r="E92" s="13">
        <f>IF('Indicator Data'!J94="No data","x",IF('Indicator Data'!J94&gt;E$150,10,IF('Indicator Data'!J94&lt;E$149,0,10-(E$150-'Indicator Data'!J94)/(E$150-E$149)*10)))</f>
        <v>6.2331400000000006</v>
      </c>
      <c r="F92" s="144">
        <f>IF(OR('Indicator Data'!AG94=0,'Indicator Data'!AG94="No data"),"x",IF('Indicator Data'!AG94&gt;F$150,0,IF('Indicator Data'!AG94&lt;F$149,10,(F$150-'Indicator Data'!AG94)/(F$150-F$149)*10)))</f>
        <v>5.21</v>
      </c>
      <c r="G92" s="144">
        <f>IF(OR('Indicator Data'!AE94=0,'Indicator Data'!AE94="No data"),"x",IF('Indicator Data'!AE94&gt;G$150,0,IF('Indicator Data'!AE94&lt;G$149,10,(G$150-'Indicator Data'!AE94)/(G$150-G$149)*10)))</f>
        <v>9.75</v>
      </c>
      <c r="H92" s="144">
        <f>IF(OR('Indicator Data'!AF94=0,'Indicator Data'!AF94="No data"),"x",IF('Indicator Data'!AF94&gt;H$150,0,IF('Indicator Data'!AF94&lt;H$149,10,(H$150-'Indicator Data'!AF94)/(H$150-H$149)*10)))</f>
        <v>4.13</v>
      </c>
      <c r="I92" s="144">
        <f t="shared" si="17"/>
        <v>6.3633333333333333</v>
      </c>
      <c r="J92" s="49">
        <f t="shared" si="19"/>
        <v>6.5439888959484573</v>
      </c>
      <c r="K92" s="13">
        <f>IF('Indicator Data'!K94="No data","x",IF('Indicator Data'!K94&gt;K$150,10,IF('Indicator Data'!K94&lt;K$149,0,10-(K$150-'Indicator Data'!K94)/(K$150-K$149)*10)))</f>
        <v>5.4672797576792265</v>
      </c>
      <c r="L92" s="13">
        <f>IF('Indicator Data'!L94="No data","x",IF('Indicator Data'!L94&gt;L$150,10,IF('Indicator Data'!L94&lt;L$149,0,10-(L$150-'Indicator Data'!L94)/(L$150-L$149)*10)))</f>
        <v>6.4499999999999993</v>
      </c>
      <c r="M92" s="13">
        <f>IF('Indicator Data'!M94="No data","x",IF('Indicator Data'!M94&gt;M$150,10,IF('Indicator Data'!M94&lt;M$149,0,10-(M$150-'Indicator Data'!M94)/(M$150-M$149)*10)))</f>
        <v>2.4495239999999994</v>
      </c>
      <c r="N92" s="144"/>
      <c r="O92" s="49">
        <f t="shared" si="20"/>
        <v>4.7889345858930747</v>
      </c>
      <c r="P92" s="42">
        <f t="shared" si="21"/>
        <v>5.9589707925966628</v>
      </c>
      <c r="Q92" s="33">
        <f>'Indicator Data'!AA94</f>
        <v>25496</v>
      </c>
      <c r="R92" s="13">
        <f t="shared" si="22"/>
        <v>4.6882401682189201</v>
      </c>
      <c r="S92" s="38">
        <f>Q92/'Indicator Data'!AN94</f>
        <v>8.5946256621849612E-3</v>
      </c>
      <c r="T92" s="13">
        <f t="shared" si="23"/>
        <v>5.4223592658657989</v>
      </c>
      <c r="U92" s="14">
        <f t="shared" si="24"/>
        <v>5.0552997170423595</v>
      </c>
      <c r="V92" s="33">
        <f>IF('Indicator Data'!Z94="",VLOOKUP($B92,'Indicator Data (national)'!$B$5:$AA$14,26,FALSE),'Indicator Data'!Z94)</f>
        <v>0</v>
      </c>
      <c r="W92" s="13">
        <f t="shared" si="25"/>
        <v>0</v>
      </c>
      <c r="X92" s="38">
        <f>IF('Indicator Data'!Z94="",V92/VLOOKUP($B92,'Indicator Data (national)'!$B$5:$AM$14,38,FALSE),V92/'Indicator Data'!AN94)</f>
        <v>0</v>
      </c>
      <c r="Y92" s="13">
        <f t="shared" si="26"/>
        <v>0</v>
      </c>
      <c r="Z92" s="14">
        <f t="shared" si="27"/>
        <v>0</v>
      </c>
      <c r="AA92" s="149">
        <f t="shared" si="28"/>
        <v>2.5276498585211797</v>
      </c>
      <c r="AB92" s="33">
        <f>VLOOKUP($B92,'Indicator Data (national)'!$B$5:$Z$14,25,FALSE)+VLOOKUP($B92,'Indicator Data (national)'!$B$5:$Z$14,24,FALSE)*0.5+VLOOKUP($B92,'Indicator Data (national)'!$B$5:$Z$14,23,FALSE)*0.25</f>
        <v>2790</v>
      </c>
      <c r="AC92" s="39">
        <f>AB92/VLOOKUP($B92,'Indicator Data (national)'!$B$5:$AM$14,38,FALSE)</f>
        <v>2.3691205264168827E-4</v>
      </c>
      <c r="AD92" s="49">
        <f t="shared" si="29"/>
        <v>2.3691205264169568E-2</v>
      </c>
      <c r="AE92" s="13">
        <f>IF('Indicator Data'!V94="No data","x",IF(('Indicator Data'!V94)&gt;AE$150,10,IF(('Indicator Data'!V94)&lt;AE$149,0,10-(AE$150-('Indicator Data'!V94))/(AE$150-AE$149)*10)))</f>
        <v>0</v>
      </c>
      <c r="AF92" s="49">
        <f t="shared" si="30"/>
        <v>0</v>
      </c>
      <c r="AG92" s="34">
        <f t="shared" si="31"/>
        <v>1.1851923696373962E-2</v>
      </c>
      <c r="AH92" s="52">
        <f t="shared" si="18"/>
        <v>5.9275429576347936E-3</v>
      </c>
    </row>
    <row r="93" spans="1:34" s="11" customFormat="1" x14ac:dyDescent="0.25">
      <c r="A93" s="16" t="s">
        <v>465</v>
      </c>
      <c r="B93" s="11" t="s">
        <v>577</v>
      </c>
      <c r="C93" s="126" t="s">
        <v>466</v>
      </c>
      <c r="D93" s="13">
        <f>IF('Indicator Data'!I95="No data","x",IF('Indicator Data'!I95&gt;D$150,0,IF('Indicator Data'!I95&lt;D$149,10,(D$150-'Indicator Data'!I95)/(D$150-D$149)*10)))</f>
        <v>6.8350289340928407</v>
      </c>
      <c r="E93" s="13">
        <f>IF('Indicator Data'!J95="No data","x",IF('Indicator Data'!J95&gt;E$150,10,IF('Indicator Data'!J95&lt;E$149,0,10-(E$150-'Indicator Data'!J95)/(E$150-E$149)*10)))</f>
        <v>2.6045033333333336</v>
      </c>
      <c r="F93" s="144">
        <f>IF(OR('Indicator Data'!AG95=0,'Indicator Data'!AG95="No data"),"x",IF('Indicator Data'!AG95&gt;F$150,0,IF('Indicator Data'!AG95&lt;F$149,10,(F$150-'Indicator Data'!AG95)/(F$150-F$149)*10)))</f>
        <v>1.8799999999999997</v>
      </c>
      <c r="G93" s="144">
        <f>IF(OR('Indicator Data'!AE95=0,'Indicator Data'!AE95="No data"),"x",IF('Indicator Data'!AE95&gt;G$150,0,IF('Indicator Data'!AE95&lt;G$149,10,(G$150-'Indicator Data'!AE95)/(G$150-G$149)*10)))</f>
        <v>3.9899999999999998</v>
      </c>
      <c r="H93" s="144">
        <f>IF(OR('Indicator Data'!AF95=0,'Indicator Data'!AF95="No data"),"x",IF('Indicator Data'!AF95&gt;H$150,0,IF('Indicator Data'!AF95&lt;H$149,10,(H$150-'Indicator Data'!AF95)/(H$150-H$149)*10)))</f>
        <v>4.4799999999999995</v>
      </c>
      <c r="I93" s="144">
        <f t="shared" si="17"/>
        <v>3.4499999999999993</v>
      </c>
      <c r="J93" s="49">
        <f t="shared" si="19"/>
        <v>5.079945891566835</v>
      </c>
      <c r="K93" s="13">
        <f>IF('Indicator Data'!K95="No data","x",IF('Indicator Data'!K95&gt;K$150,10,IF('Indicator Data'!K95&lt;K$149,0,10-(K$150-'Indicator Data'!K95)/(K$150-K$149)*10)))</f>
        <v>5.4672797576792265</v>
      </c>
      <c r="L93" s="13">
        <f>IF('Indicator Data'!L95="No data","x",IF('Indicator Data'!L95&gt;L$150,10,IF('Indicator Data'!L95&lt;L$149,0,10-(L$150-'Indicator Data'!L95)/(L$150-L$149)*10)))</f>
        <v>6.4499999999999993</v>
      </c>
      <c r="M93" s="13">
        <f>IF('Indicator Data'!M95="No data","x",IF('Indicator Data'!M95&gt;M$150,10,IF('Indicator Data'!M95&lt;M$149,0,10-(M$150-'Indicator Data'!M95)/(M$150-M$149)*10)))</f>
        <v>1.6112320000000011</v>
      </c>
      <c r="N93" s="144"/>
      <c r="O93" s="49">
        <f t="shared" si="20"/>
        <v>4.5095039192264084</v>
      </c>
      <c r="P93" s="42">
        <f t="shared" si="21"/>
        <v>4.8897985674533588</v>
      </c>
      <c r="Q93" s="33">
        <f>'Indicator Data'!AA95</f>
        <v>2192</v>
      </c>
      <c r="R93" s="13">
        <f t="shared" si="22"/>
        <v>1.1361351660411056</v>
      </c>
      <c r="S93" s="38">
        <f>Q93/'Indicator Data'!AN95</f>
        <v>2.1072019780012728E-3</v>
      </c>
      <c r="T93" s="13">
        <f t="shared" si="23"/>
        <v>3.8336258236095047</v>
      </c>
      <c r="U93" s="14">
        <f t="shared" si="24"/>
        <v>2.4848804948253052</v>
      </c>
      <c r="V93" s="33">
        <f>IF('Indicator Data'!Z95="",VLOOKUP($B93,'Indicator Data (national)'!$B$5:$AA$14,26,FALSE),'Indicator Data'!Z95)</f>
        <v>0</v>
      </c>
      <c r="W93" s="13">
        <f t="shared" si="25"/>
        <v>0</v>
      </c>
      <c r="X93" s="38">
        <f>IF('Indicator Data'!Z95="",V93/VLOOKUP($B93,'Indicator Data (national)'!$B$5:$AM$14,38,FALSE),V93/'Indicator Data'!AN95)</f>
        <v>0</v>
      </c>
      <c r="Y93" s="13">
        <f t="shared" si="26"/>
        <v>0</v>
      </c>
      <c r="Z93" s="14">
        <f t="shared" si="27"/>
        <v>0</v>
      </c>
      <c r="AA93" s="149">
        <f t="shared" si="28"/>
        <v>1.2424402474126526</v>
      </c>
      <c r="AB93" s="33">
        <f>VLOOKUP($B93,'Indicator Data (national)'!$B$5:$Z$14,25,FALSE)+VLOOKUP($B93,'Indicator Data (national)'!$B$5:$Z$14,24,FALSE)*0.5+VLOOKUP($B93,'Indicator Data (national)'!$B$5:$Z$14,23,FALSE)*0.25</f>
        <v>2790</v>
      </c>
      <c r="AC93" s="39">
        <f>AB93/VLOOKUP($B93,'Indicator Data (national)'!$B$5:$AM$14,38,FALSE)</f>
        <v>2.3691205264168827E-4</v>
      </c>
      <c r="AD93" s="49">
        <f t="shared" si="29"/>
        <v>2.3691205264169568E-2</v>
      </c>
      <c r="AE93" s="13">
        <f>IF('Indicator Data'!V95="No data","x",IF(('Indicator Data'!V95)&gt;AE$150,10,IF(('Indicator Data'!V95)&lt;AE$149,0,10-(AE$150-('Indicator Data'!V95))/(AE$150-AE$149)*10)))</f>
        <v>0</v>
      </c>
      <c r="AF93" s="49">
        <f t="shared" si="30"/>
        <v>0</v>
      </c>
      <c r="AG93" s="34">
        <f t="shared" si="31"/>
        <v>1.1851923696373962E-2</v>
      </c>
      <c r="AH93" s="52">
        <f t="shared" si="18"/>
        <v>5.9275429576347936E-3</v>
      </c>
    </row>
    <row r="94" spans="1:34" s="11" customFormat="1" x14ac:dyDescent="0.25">
      <c r="A94" s="16" t="s">
        <v>468</v>
      </c>
      <c r="B94" s="11" t="s">
        <v>578</v>
      </c>
      <c r="C94" s="16" t="s">
        <v>469</v>
      </c>
      <c r="D94" s="13">
        <f>IF('Indicator Data'!I96="No data","x",IF('Indicator Data'!I96&gt;D$150,0,IF('Indicator Data'!I96&lt;D$149,10,(D$150-'Indicator Data'!I96)/(D$150-D$149)*10)))</f>
        <v>10</v>
      </c>
      <c r="E94" s="13">
        <f>IF('Indicator Data'!J96="No data","x",IF('Indicator Data'!J96&gt;E$150,10,IF('Indicator Data'!J96&lt;E$149,0,10-(E$150-'Indicator Data'!J96)/(E$150-E$149)*10)))</f>
        <v>6.4666666666666668</v>
      </c>
      <c r="F94" s="144">
        <f>IF(OR('Indicator Data'!AG96=0,'Indicator Data'!AG96="No data"),"x",IF('Indicator Data'!AG96&gt;F$150,0,IF('Indicator Data'!AG96&lt;F$149,10,(F$150-'Indicator Data'!AG96)/(F$150-F$149)*10)))</f>
        <v>5.84</v>
      </c>
      <c r="G94" s="144">
        <f>IF(OR('Indicator Data'!AE96=0,'Indicator Data'!AE96="No data"),"x",IF('Indicator Data'!AE96&gt;G$150,0,IF('Indicator Data'!AE96&lt;G$149,10,(G$150-'Indicator Data'!AE96)/(G$150-G$149)*10)))</f>
        <v>6.9200000000000008</v>
      </c>
      <c r="H94" s="144">
        <f>IF(OR('Indicator Data'!AF96=0,'Indicator Data'!AF96="No data"),"x",IF('Indicator Data'!AF96&gt;H$150,0,IF('Indicator Data'!AF96&lt;H$149,10,(H$150-'Indicator Data'!AF96)/(H$150-H$149)*10)))</f>
        <v>5.7700000000000005</v>
      </c>
      <c r="I94" s="144">
        <f t="shared" si="17"/>
        <v>6.1766666666666667</v>
      </c>
      <c r="J94" s="49">
        <f t="shared" si="19"/>
        <v>8.8394390777487928</v>
      </c>
      <c r="K94" s="13">
        <f>IF('Indicator Data'!K96="No data","x",IF('Indicator Data'!K96&gt;K$150,10,IF('Indicator Data'!K96&lt;K$149,0,10-(K$150-'Indicator Data'!K96)/(K$150-K$149)*10)))</f>
        <v>10</v>
      </c>
      <c r="L94" s="13" t="str">
        <f>IF('Indicator Data'!L96="No data","x",IF('Indicator Data'!L96&gt;L$150,10,IF('Indicator Data'!L96&lt;L$149,0,10-(L$150-'Indicator Data'!L96)/(L$150-L$149)*10)))</f>
        <v>x</v>
      </c>
      <c r="M94" s="13" t="str">
        <f>IF('Indicator Data'!M96="No data","x",IF('Indicator Data'!M96&gt;M$150,10,IF('Indicator Data'!M96&lt;M$149,0,10-(M$150-'Indicator Data'!M96)/(M$150-M$149)*10)))</f>
        <v>x</v>
      </c>
      <c r="N94" s="144"/>
      <c r="O94" s="49">
        <f t="shared" si="20"/>
        <v>10</v>
      </c>
      <c r="P94" s="42">
        <f t="shared" si="21"/>
        <v>9.2262927184991952</v>
      </c>
      <c r="Q94" s="33">
        <f>'Indicator Data'!AA96</f>
        <v>0</v>
      </c>
      <c r="R94" s="13">
        <f t="shared" si="22"/>
        <v>0</v>
      </c>
      <c r="S94" s="38">
        <f>Q94/'Indicator Data'!AN96</f>
        <v>0</v>
      </c>
      <c r="T94" s="13">
        <f t="shared" si="23"/>
        <v>0</v>
      </c>
      <c r="U94" s="14">
        <f t="shared" si="24"/>
        <v>0</v>
      </c>
      <c r="V94" s="33">
        <f>IF('Indicator Data'!Z96="",VLOOKUP($B94,'Indicator Data (national)'!$B$5:$AA$14,26,FALSE),'Indicator Data'!Z96)</f>
        <v>7990</v>
      </c>
      <c r="W94" s="13">
        <f t="shared" si="25"/>
        <v>3.0084892643799712</v>
      </c>
      <c r="X94" s="38">
        <f>IF('Indicator Data'!Z96="",V94/VLOOKUP($B94,'Indicator Data (national)'!$B$5:$AM$14,38,FALSE),V94/'Indicator Data'!AN96)</f>
        <v>1.8033756302786544E-2</v>
      </c>
      <c r="Y94" s="13">
        <f t="shared" si="26"/>
        <v>6.5098577758020397</v>
      </c>
      <c r="Z94" s="14">
        <f t="shared" si="27"/>
        <v>4.7591735200910055</v>
      </c>
      <c r="AA94" s="149">
        <f t="shared" si="28"/>
        <v>2.3795867600455027</v>
      </c>
      <c r="AB94" s="33">
        <f>VLOOKUP($B94,'Indicator Data (national)'!$B$5:$Z$14,25,FALSE)+VLOOKUP($B94,'Indicator Data (national)'!$B$5:$Z$14,24,FALSE)*0.5+VLOOKUP($B94,'Indicator Data (national)'!$B$5:$Z$14,23,FALSE)*0.25</f>
        <v>783050</v>
      </c>
      <c r="AC94" s="39">
        <f>AB94/VLOOKUP($B94,'Indicator Data (national)'!$B$5:$AM$14,38,FALSE)</f>
        <v>7.4607575396240494E-2</v>
      </c>
      <c r="AD94" s="49">
        <f t="shared" si="29"/>
        <v>7.4607575396240486</v>
      </c>
      <c r="AE94" s="13">
        <f>IF('Indicator Data'!V96="No data","x",IF(('Indicator Data'!V96)&gt;AE$150,10,IF(('Indicator Data'!V96)&lt;AE$149,0,10-(AE$150-('Indicator Data'!V96))/(AE$150-AE$149)*10)))</f>
        <v>0</v>
      </c>
      <c r="AF94" s="49">
        <f t="shared" si="30"/>
        <v>0</v>
      </c>
      <c r="AG94" s="34">
        <f t="shared" si="31"/>
        <v>4.7424782807750718</v>
      </c>
      <c r="AH94" s="52">
        <f t="shared" si="18"/>
        <v>4.7508313783936691</v>
      </c>
    </row>
    <row r="95" spans="1:34" s="11" customFormat="1" x14ac:dyDescent="0.25">
      <c r="A95" s="16" t="s">
        <v>470</v>
      </c>
      <c r="B95" s="11" t="s">
        <v>578</v>
      </c>
      <c r="C95" s="16" t="s">
        <v>471</v>
      </c>
      <c r="D95" s="13">
        <f>IF('Indicator Data'!I97="No data","x",IF('Indicator Data'!I97&gt;D$150,0,IF('Indicator Data'!I97&lt;D$149,10,(D$150-'Indicator Data'!I97)/(D$150-D$149)*10)))</f>
        <v>10</v>
      </c>
      <c r="E95" s="13">
        <f>IF('Indicator Data'!J97="No data","x",IF('Indicator Data'!J97&gt;E$150,10,IF('Indicator Data'!J97&lt;E$149,0,10-(E$150-'Indicator Data'!J97)/(E$150-E$149)*10)))</f>
        <v>8.9833333333333343</v>
      </c>
      <c r="F95" s="144">
        <f>IF(OR('Indicator Data'!AG97=0,'Indicator Data'!AG97="No data"),"x",IF('Indicator Data'!AG97&gt;F$150,0,IF('Indicator Data'!AG97&lt;F$149,10,(F$150-'Indicator Data'!AG97)/(F$150-F$149)*10)))</f>
        <v>7.6</v>
      </c>
      <c r="G95" s="144">
        <f>IF(OR('Indicator Data'!AE97=0,'Indicator Data'!AE97="No data"),"x",IF('Indicator Data'!AE97&gt;G$150,0,IF('Indicator Data'!AE97&lt;G$149,10,(G$150-'Indicator Data'!AE97)/(G$150-G$149)*10)))</f>
        <v>8.740000000000002</v>
      </c>
      <c r="H95" s="144">
        <f>IF(OR('Indicator Data'!AF97=0,'Indicator Data'!AF97="No data"),"x",IF('Indicator Data'!AF97&gt;H$150,0,IF('Indicator Data'!AF97&lt;H$149,10,(H$150-'Indicator Data'!AF97)/(H$150-H$149)*10)))</f>
        <v>6.6000000000000005</v>
      </c>
      <c r="I95" s="144">
        <f t="shared" si="17"/>
        <v>7.6466666666666683</v>
      </c>
      <c r="J95" s="49">
        <f t="shared" si="19"/>
        <v>9.573516388544661</v>
      </c>
      <c r="K95" s="13">
        <f>IF('Indicator Data'!K97="No data","x",IF('Indicator Data'!K97&gt;K$150,10,IF('Indicator Data'!K97&lt;K$149,0,10-(K$150-'Indicator Data'!K97)/(K$150-K$149)*10)))</f>
        <v>10</v>
      </c>
      <c r="L95" s="13" t="str">
        <f>IF('Indicator Data'!L97="No data","x",IF('Indicator Data'!L97&gt;L$150,10,IF('Indicator Data'!L97&lt;L$149,0,10-(L$150-'Indicator Data'!L97)/(L$150-L$149)*10)))</f>
        <v>x</v>
      </c>
      <c r="M95" s="13" t="str">
        <f>IF('Indicator Data'!M97="No data","x",IF('Indicator Data'!M97&gt;M$150,10,IF('Indicator Data'!M97&lt;M$149,0,10-(M$150-'Indicator Data'!M97)/(M$150-M$149)*10)))</f>
        <v>x</v>
      </c>
      <c r="N95" s="144"/>
      <c r="O95" s="49">
        <f t="shared" si="20"/>
        <v>10</v>
      </c>
      <c r="P95" s="42">
        <f t="shared" si="21"/>
        <v>9.7156775923631074</v>
      </c>
      <c r="Q95" s="33">
        <f>'Indicator Data'!AA97</f>
        <v>0</v>
      </c>
      <c r="R95" s="13">
        <f t="shared" si="22"/>
        <v>0</v>
      </c>
      <c r="S95" s="38">
        <f>Q95/'Indicator Data'!AN97</f>
        <v>0</v>
      </c>
      <c r="T95" s="13">
        <f t="shared" si="23"/>
        <v>0</v>
      </c>
      <c r="U95" s="14">
        <f t="shared" si="24"/>
        <v>0</v>
      </c>
      <c r="V95" s="33">
        <f>IF('Indicator Data'!Z97="",VLOOKUP($B95,'Indicator Data (national)'!$B$5:$AA$14,26,FALSE),'Indicator Data'!Z97)</f>
        <v>24000</v>
      </c>
      <c r="W95" s="13">
        <f t="shared" si="25"/>
        <v>4.6007041390386885</v>
      </c>
      <c r="X95" s="38">
        <f>IF('Indicator Data'!Z97="",V95/VLOOKUP($B95,'Indicator Data (national)'!$B$5:$AM$14,38,FALSE),V95/'Indicator Data'!AN97)</f>
        <v>7.8526579611227998E-2</v>
      </c>
      <c r="Y95" s="13">
        <f t="shared" si="26"/>
        <v>9.3574393062687964</v>
      </c>
      <c r="Z95" s="14">
        <f t="shared" si="27"/>
        <v>6.9790717226537424</v>
      </c>
      <c r="AA95" s="149">
        <f t="shared" si="28"/>
        <v>3.4895358613268712</v>
      </c>
      <c r="AB95" s="33">
        <f>VLOOKUP($B95,'Indicator Data (national)'!$B$5:$Z$14,25,FALSE)+VLOOKUP($B95,'Indicator Data (national)'!$B$5:$Z$14,24,FALSE)*0.5+VLOOKUP($B95,'Indicator Data (national)'!$B$5:$Z$14,23,FALSE)*0.25</f>
        <v>783050</v>
      </c>
      <c r="AC95" s="39">
        <f>AB95/VLOOKUP($B95,'Indicator Data (national)'!$B$5:$AM$14,38,FALSE)</f>
        <v>7.4607575396240494E-2</v>
      </c>
      <c r="AD95" s="49">
        <f t="shared" si="29"/>
        <v>7.4607575396240486</v>
      </c>
      <c r="AE95" s="13">
        <f>IF('Indicator Data'!V97="No data","x",IF(('Indicator Data'!V97)&gt;AE$150,10,IF(('Indicator Data'!V97)&lt;AE$149,0,10-(AE$150-('Indicator Data'!V97))/(AE$150-AE$149)*10)))</f>
        <v>3.662467999782443</v>
      </c>
      <c r="AF95" s="49">
        <f t="shared" si="30"/>
        <v>3.662467999782443</v>
      </c>
      <c r="AG95" s="34">
        <f t="shared" si="31"/>
        <v>5.8966906270907522</v>
      </c>
      <c r="AH95" s="52">
        <f t="shared" si="18"/>
        <v>6.4693236506653973</v>
      </c>
    </row>
    <row r="96" spans="1:34" s="11" customFormat="1" x14ac:dyDescent="0.25">
      <c r="A96" s="16" t="s">
        <v>472</v>
      </c>
      <c r="B96" s="11" t="s">
        <v>578</v>
      </c>
      <c r="C96" s="16" t="s">
        <v>473</v>
      </c>
      <c r="D96" s="13">
        <f>IF('Indicator Data'!I98="No data","x",IF('Indicator Data'!I98&gt;D$150,0,IF('Indicator Data'!I98&lt;D$149,10,(D$150-'Indicator Data'!I98)/(D$150-D$149)*10)))</f>
        <v>10</v>
      </c>
      <c r="E96" s="13">
        <f>IF('Indicator Data'!J98="No data","x",IF('Indicator Data'!J98&gt;E$150,10,IF('Indicator Data'!J98&lt;E$149,0,10-(E$150-'Indicator Data'!J98)/(E$150-E$149)*10)))</f>
        <v>5.05</v>
      </c>
      <c r="F96" s="144">
        <f>IF(OR('Indicator Data'!AG98=0,'Indicator Data'!AG98="No data"),"x",IF('Indicator Data'!AG98&gt;F$150,0,IF('Indicator Data'!AG98&lt;F$149,10,(F$150-'Indicator Data'!AG98)/(F$150-F$149)*10)))</f>
        <v>4.4799999999999995</v>
      </c>
      <c r="G96" s="144">
        <f>IF(OR('Indicator Data'!AE98=0,'Indicator Data'!AE98="No data"),"x",IF('Indicator Data'!AE98&gt;G$150,0,IF('Indicator Data'!AE98&lt;G$149,10,(G$150-'Indicator Data'!AE98)/(G$150-G$149)*10)))</f>
        <v>5.5</v>
      </c>
      <c r="H96" s="144">
        <f>IF(OR('Indicator Data'!AF98=0,'Indicator Data'!AF98="No data"),"x",IF('Indicator Data'!AF98&gt;H$150,0,IF('Indicator Data'!AF98&lt;H$149,10,(H$150-'Indicator Data'!AF98)/(H$150-H$149)*10)))</f>
        <v>2.3200000000000003</v>
      </c>
      <c r="I96" s="144">
        <f t="shared" si="17"/>
        <v>4.1000000000000005</v>
      </c>
      <c r="J96" s="49">
        <f t="shared" si="19"/>
        <v>8.5160065079718521</v>
      </c>
      <c r="K96" s="13">
        <f>IF('Indicator Data'!K98="No data","x",IF('Indicator Data'!K98&gt;K$150,10,IF('Indicator Data'!K98&lt;K$149,0,10-(K$150-'Indicator Data'!K98)/(K$150-K$149)*10)))</f>
        <v>10</v>
      </c>
      <c r="L96" s="13" t="str">
        <f>IF('Indicator Data'!L98="No data","x",IF('Indicator Data'!L98&gt;L$150,10,IF('Indicator Data'!L98&lt;L$149,0,10-(L$150-'Indicator Data'!L98)/(L$150-L$149)*10)))</f>
        <v>x</v>
      </c>
      <c r="M96" s="13" t="str">
        <f>IF('Indicator Data'!M98="No data","x",IF('Indicator Data'!M98&gt;M$150,10,IF('Indicator Data'!M98&lt;M$149,0,10-(M$150-'Indicator Data'!M98)/(M$150-M$149)*10)))</f>
        <v>x</v>
      </c>
      <c r="N96" s="144"/>
      <c r="O96" s="49">
        <f t="shared" si="20"/>
        <v>10</v>
      </c>
      <c r="P96" s="42">
        <f t="shared" si="21"/>
        <v>9.0106710053145687</v>
      </c>
      <c r="Q96" s="33">
        <f>'Indicator Data'!AA98</f>
        <v>0</v>
      </c>
      <c r="R96" s="13">
        <f t="shared" si="22"/>
        <v>0</v>
      </c>
      <c r="S96" s="38">
        <f>Q96/'Indicator Data'!AN98</f>
        <v>0</v>
      </c>
      <c r="T96" s="13">
        <f t="shared" si="23"/>
        <v>0</v>
      </c>
      <c r="U96" s="14">
        <f t="shared" si="24"/>
        <v>0</v>
      </c>
      <c r="V96" s="33">
        <f>IF('Indicator Data'!Z98="",VLOOKUP($B96,'Indicator Data (national)'!$B$5:$AA$14,26,FALSE),'Indicator Data'!Z98)</f>
        <v>369000</v>
      </c>
      <c r="W96" s="13">
        <f t="shared" si="25"/>
        <v>8.5567545538635361</v>
      </c>
      <c r="X96" s="38">
        <f>IF('Indicator Data'!Z98="",V96/VLOOKUP($B96,'Indicator Data (national)'!$B$5:$AM$14,38,FALSE),V96/'Indicator Data'!AN98)</f>
        <v>0.37542425993602524</v>
      </c>
      <c r="Y96" s="13">
        <f t="shared" si="26"/>
        <v>10</v>
      </c>
      <c r="Z96" s="14">
        <f t="shared" si="27"/>
        <v>9.2783772769317672</v>
      </c>
      <c r="AA96" s="149">
        <f t="shared" si="28"/>
        <v>4.6391886384658836</v>
      </c>
      <c r="AB96" s="33">
        <f>VLOOKUP($B96,'Indicator Data (national)'!$B$5:$Z$14,25,FALSE)+VLOOKUP($B96,'Indicator Data (national)'!$B$5:$Z$14,24,FALSE)*0.5+VLOOKUP($B96,'Indicator Data (national)'!$B$5:$Z$14,23,FALSE)*0.25</f>
        <v>783050</v>
      </c>
      <c r="AC96" s="39">
        <f>AB96/VLOOKUP($B96,'Indicator Data (national)'!$B$5:$AM$14,38,FALSE)</f>
        <v>7.4607575396240494E-2</v>
      </c>
      <c r="AD96" s="49">
        <f t="shared" si="29"/>
        <v>7.4607575396240486</v>
      </c>
      <c r="AE96" s="13">
        <f>IF('Indicator Data'!V98="No data","x",IF(('Indicator Data'!V98)&gt;AE$150,10,IF(('Indicator Data'!V98)&lt;AE$149,0,10-(AE$150-('Indicator Data'!V98))/(AE$150-AE$149)*10)))</f>
        <v>10</v>
      </c>
      <c r="AF96" s="49">
        <f t="shared" si="30"/>
        <v>10</v>
      </c>
      <c r="AG96" s="34">
        <f t="shared" si="31"/>
        <v>9.0971725785924544</v>
      </c>
      <c r="AH96" s="52">
        <f t="shared" si="18"/>
        <v>9.1899101095226676</v>
      </c>
    </row>
    <row r="97" spans="1:34" s="11" customFormat="1" x14ac:dyDescent="0.25">
      <c r="A97" s="16" t="s">
        <v>474</v>
      </c>
      <c r="B97" s="11" t="s">
        <v>578</v>
      </c>
      <c r="C97" s="16" t="s">
        <v>475</v>
      </c>
      <c r="D97" s="13">
        <f>IF('Indicator Data'!I99="No data","x",IF('Indicator Data'!I99&gt;D$150,0,IF('Indicator Data'!I99&lt;D$149,10,(D$150-'Indicator Data'!I99)/(D$150-D$149)*10)))</f>
        <v>10</v>
      </c>
      <c r="E97" s="13">
        <f>IF('Indicator Data'!J99="No data","x",IF('Indicator Data'!J99&gt;E$150,10,IF('Indicator Data'!J99&lt;E$149,0,10-(E$150-'Indicator Data'!J99)/(E$150-E$149)*10)))</f>
        <v>6.6833333333333336</v>
      </c>
      <c r="F97" s="144">
        <f>IF(OR('Indicator Data'!AG99=0,'Indicator Data'!AG99="No data"),"x",IF('Indicator Data'!AG99&gt;F$150,0,IF('Indicator Data'!AG99&lt;F$149,10,(F$150-'Indicator Data'!AG99)/(F$150-F$149)*10)))</f>
        <v>6.48</v>
      </c>
      <c r="G97" s="144">
        <f>IF(OR('Indicator Data'!AE99=0,'Indicator Data'!AE99="No data"),"x",IF('Indicator Data'!AE99&gt;G$150,0,IF('Indicator Data'!AE99&lt;G$149,10,(G$150-'Indicator Data'!AE99)/(G$150-G$149)*10)))</f>
        <v>7.75</v>
      </c>
      <c r="H97" s="144">
        <f>IF(OR('Indicator Data'!AF99=0,'Indicator Data'!AF99="No data"),"x",IF('Indicator Data'!AF99&gt;H$150,0,IF('Indicator Data'!AF99&lt;H$149,10,(H$150-'Indicator Data'!AF99)/(H$150-H$149)*10)))</f>
        <v>5.26</v>
      </c>
      <c r="I97" s="144">
        <f t="shared" si="17"/>
        <v>6.496666666666667</v>
      </c>
      <c r="J97" s="49">
        <f t="shared" si="19"/>
        <v>8.8930594691469853</v>
      </c>
      <c r="K97" s="13">
        <f>IF('Indicator Data'!K99="No data","x",IF('Indicator Data'!K99&gt;K$150,10,IF('Indicator Data'!K99&lt;K$149,0,10-(K$150-'Indicator Data'!K99)/(K$150-K$149)*10)))</f>
        <v>10</v>
      </c>
      <c r="L97" s="13" t="str">
        <f>IF('Indicator Data'!L99="No data","x",IF('Indicator Data'!L99&gt;L$150,10,IF('Indicator Data'!L99&lt;L$149,0,10-(L$150-'Indicator Data'!L99)/(L$150-L$149)*10)))</f>
        <v>x</v>
      </c>
      <c r="M97" s="13" t="str">
        <f>IF('Indicator Data'!M99="No data","x",IF('Indicator Data'!M99&gt;M$150,10,IF('Indicator Data'!M99&lt;M$149,0,10-(M$150-'Indicator Data'!M99)/(M$150-M$149)*10)))</f>
        <v>x</v>
      </c>
      <c r="N97" s="144"/>
      <c r="O97" s="49">
        <f t="shared" si="20"/>
        <v>10</v>
      </c>
      <c r="P97" s="42">
        <f t="shared" si="21"/>
        <v>9.2620396460979908</v>
      </c>
      <c r="Q97" s="33">
        <f>'Indicator Data'!AA99</f>
        <v>0</v>
      </c>
      <c r="R97" s="13">
        <f t="shared" si="22"/>
        <v>0</v>
      </c>
      <c r="S97" s="38">
        <f>Q97/'Indicator Data'!AN99</f>
        <v>0</v>
      </c>
      <c r="T97" s="13">
        <f t="shared" si="23"/>
        <v>0</v>
      </c>
      <c r="U97" s="14">
        <f t="shared" si="24"/>
        <v>0</v>
      </c>
      <c r="V97" s="33">
        <f>IF('Indicator Data'!Z99="",VLOOKUP($B97,'Indicator Data (national)'!$B$5:$AA$14,26,FALSE),'Indicator Data'!Z99)</f>
        <v>49010</v>
      </c>
      <c r="W97" s="13">
        <f t="shared" si="25"/>
        <v>5.6342823417087651</v>
      </c>
      <c r="X97" s="38">
        <f>IF('Indicator Data'!Z99="",V97/VLOOKUP($B97,'Indicator Data (national)'!$B$5:$AM$14,38,FALSE),V97/'Indicator Data'!AN99)</f>
        <v>0.10138958134646854</v>
      </c>
      <c r="Y97" s="13">
        <f t="shared" si="26"/>
        <v>10</v>
      </c>
      <c r="Z97" s="14">
        <f t="shared" si="27"/>
        <v>7.8171411708543825</v>
      </c>
      <c r="AA97" s="149">
        <f t="shared" si="28"/>
        <v>3.9085705854271913</v>
      </c>
      <c r="AB97" s="33">
        <f>VLOOKUP($B97,'Indicator Data (national)'!$B$5:$Z$14,25,FALSE)+VLOOKUP($B97,'Indicator Data (national)'!$B$5:$Z$14,24,FALSE)*0.5+VLOOKUP($B97,'Indicator Data (national)'!$B$5:$Z$14,23,FALSE)*0.25</f>
        <v>783050</v>
      </c>
      <c r="AC97" s="39">
        <f>AB97/VLOOKUP($B97,'Indicator Data (national)'!$B$5:$AM$14,38,FALSE)</f>
        <v>7.4607575396240494E-2</v>
      </c>
      <c r="AD97" s="49">
        <f t="shared" si="29"/>
        <v>7.4607575396240486</v>
      </c>
      <c r="AE97" s="13">
        <f>IF('Indicator Data'!V99="No data","x",IF(('Indicator Data'!V99)&gt;AE$150,10,IF(('Indicator Data'!V99)&lt;AE$149,0,10-(AE$150-('Indicator Data'!V99))/(AE$150-AE$149)*10)))</f>
        <v>7.8868149977019293</v>
      </c>
      <c r="AF97" s="49">
        <f t="shared" si="30"/>
        <v>7.8868149977019293</v>
      </c>
      <c r="AG97" s="34">
        <f t="shared" si="31"/>
        <v>7.6803938634914442</v>
      </c>
      <c r="AH97" s="52">
        <f t="shared" si="18"/>
        <v>7.749462782213592</v>
      </c>
    </row>
    <row r="98" spans="1:34" s="11" customFormat="1" x14ac:dyDescent="0.25">
      <c r="A98" s="16" t="s">
        <v>476</v>
      </c>
      <c r="B98" s="11" t="s">
        <v>578</v>
      </c>
      <c r="C98" s="16" t="s">
        <v>477</v>
      </c>
      <c r="D98" s="13">
        <f>IF('Indicator Data'!I100="No data","x",IF('Indicator Data'!I100&gt;D$150,0,IF('Indicator Data'!I100&lt;D$149,10,(D$150-'Indicator Data'!I100)/(D$150-D$149)*10)))</f>
        <v>10</v>
      </c>
      <c r="E98" s="13">
        <f>IF('Indicator Data'!J100="No data","x",IF('Indicator Data'!J100&gt;E$150,10,IF('Indicator Data'!J100&lt;E$149,0,10-(E$150-'Indicator Data'!J100)/(E$150-E$149)*10)))</f>
        <v>8.9833333333333343</v>
      </c>
      <c r="F98" s="144">
        <f>IF(OR('Indicator Data'!AG100=0,'Indicator Data'!AG100="No data"),"x",IF('Indicator Data'!AG100&gt;F$150,0,IF('Indicator Data'!AG100&lt;F$149,10,(F$150-'Indicator Data'!AG100)/(F$150-F$149)*10)))</f>
        <v>7.6</v>
      </c>
      <c r="G98" s="144">
        <f>IF(OR('Indicator Data'!AE100=0,'Indicator Data'!AE100="No data"),"x",IF('Indicator Data'!AE100&gt;G$150,0,IF('Indicator Data'!AE100&lt;G$149,10,(G$150-'Indicator Data'!AE100)/(G$150-G$149)*10)))</f>
        <v>8.740000000000002</v>
      </c>
      <c r="H98" s="144">
        <f>IF(OR('Indicator Data'!AF100=0,'Indicator Data'!AF100="No data"),"x",IF('Indicator Data'!AF100&gt;H$150,0,IF('Indicator Data'!AF100&lt;H$149,10,(H$150-'Indicator Data'!AF100)/(H$150-H$149)*10)))</f>
        <v>6.6000000000000005</v>
      </c>
      <c r="I98" s="144">
        <f t="shared" si="17"/>
        <v>7.6466666666666683</v>
      </c>
      <c r="J98" s="49">
        <f t="shared" si="19"/>
        <v>9.573516388544661</v>
      </c>
      <c r="K98" s="13">
        <f>IF('Indicator Data'!K100="No data","x",IF('Indicator Data'!K100&gt;K$150,10,IF('Indicator Data'!K100&lt;K$149,0,10-(K$150-'Indicator Data'!K100)/(K$150-K$149)*10)))</f>
        <v>10</v>
      </c>
      <c r="L98" s="13" t="str">
        <f>IF('Indicator Data'!L100="No data","x",IF('Indicator Data'!L100&gt;L$150,10,IF('Indicator Data'!L100&lt;L$149,0,10-(L$150-'Indicator Data'!L100)/(L$150-L$149)*10)))</f>
        <v>x</v>
      </c>
      <c r="M98" s="13" t="str">
        <f>IF('Indicator Data'!M100="No data","x",IF('Indicator Data'!M100&gt;M$150,10,IF('Indicator Data'!M100&lt;M$149,0,10-(M$150-'Indicator Data'!M100)/(M$150-M$149)*10)))</f>
        <v>x</v>
      </c>
      <c r="N98" s="144"/>
      <c r="O98" s="49">
        <f t="shared" si="20"/>
        <v>10</v>
      </c>
      <c r="P98" s="42">
        <f t="shared" si="21"/>
        <v>9.7156775923631074</v>
      </c>
      <c r="Q98" s="33">
        <f>'Indicator Data'!AA100</f>
        <v>0</v>
      </c>
      <c r="R98" s="13">
        <f t="shared" si="22"/>
        <v>0</v>
      </c>
      <c r="S98" s="38">
        <f>Q98/'Indicator Data'!AN100</f>
        <v>0</v>
      </c>
      <c r="T98" s="13">
        <f t="shared" si="23"/>
        <v>0</v>
      </c>
      <c r="U98" s="14">
        <f t="shared" si="24"/>
        <v>0</v>
      </c>
      <c r="V98" s="33">
        <f>IF('Indicator Data'!Z100="",VLOOKUP($B98,'Indicator Data (national)'!$B$5:$AA$14,26,FALSE),'Indicator Data'!Z100)</f>
        <v>39820</v>
      </c>
      <c r="W98" s="13">
        <f t="shared" si="25"/>
        <v>5.3336708523046372</v>
      </c>
      <c r="X98" s="38">
        <f>IF('Indicator Data'!Z100="",V98/VLOOKUP($B98,'Indicator Data (national)'!$B$5:$AM$14,38,FALSE),V98/'Indicator Data'!AN100)</f>
        <v>4.6260153534452314E-2</v>
      </c>
      <c r="Y98" s="13">
        <f t="shared" si="26"/>
        <v>8.2125283711647405</v>
      </c>
      <c r="Z98" s="14">
        <f t="shared" si="27"/>
        <v>6.7730996117346889</v>
      </c>
      <c r="AA98" s="149">
        <f t="shared" si="28"/>
        <v>3.3865498058673444</v>
      </c>
      <c r="AB98" s="33">
        <f>VLOOKUP($B98,'Indicator Data (national)'!$B$5:$Z$14,25,FALSE)+VLOOKUP($B98,'Indicator Data (national)'!$B$5:$Z$14,24,FALSE)*0.5+VLOOKUP($B98,'Indicator Data (national)'!$B$5:$Z$14,23,FALSE)*0.25</f>
        <v>783050</v>
      </c>
      <c r="AC98" s="39">
        <f>AB98/VLOOKUP($B98,'Indicator Data (national)'!$B$5:$AM$14,38,FALSE)</f>
        <v>7.4607575396240494E-2</v>
      </c>
      <c r="AD98" s="49">
        <f t="shared" si="29"/>
        <v>7.4607575396240486</v>
      </c>
      <c r="AE98" s="13">
        <f>IF('Indicator Data'!V100="No data","x",IF(('Indicator Data'!V100)&gt;AE$150,10,IF(('Indicator Data'!V100)&lt;AE$149,0,10-(AE$150-('Indicator Data'!V100))/(AE$150-AE$149)*10)))</f>
        <v>0.75638966157406351</v>
      </c>
      <c r="AF98" s="49">
        <f t="shared" si="30"/>
        <v>0.75638966157406351</v>
      </c>
      <c r="AG98" s="34">
        <f t="shared" si="31"/>
        <v>4.9630712263127652</v>
      </c>
      <c r="AH98" s="52">
        <f t="shared" si="18"/>
        <v>5.9467846575568704</v>
      </c>
    </row>
    <row r="99" spans="1:34" s="11" customFormat="1" x14ac:dyDescent="0.25">
      <c r="A99" s="16" t="s">
        <v>478</v>
      </c>
      <c r="B99" s="11" t="s">
        <v>578</v>
      </c>
      <c r="C99" s="16" t="s">
        <v>479</v>
      </c>
      <c r="D99" s="13">
        <f>IF('Indicator Data'!I101="No data","x",IF('Indicator Data'!I101&gt;D$150,0,IF('Indicator Data'!I101&lt;D$149,10,(D$150-'Indicator Data'!I101)/(D$150-D$149)*10)))</f>
        <v>10</v>
      </c>
      <c r="E99" s="13">
        <f>IF('Indicator Data'!J101="No data","x",IF('Indicator Data'!J101&gt;E$150,10,IF('Indicator Data'!J101&lt;E$149,0,10-(E$150-'Indicator Data'!J101)/(E$150-E$149)*10)))</f>
        <v>6.6833333333333336</v>
      </c>
      <c r="F99" s="144">
        <f>IF(OR('Indicator Data'!AG101=0,'Indicator Data'!AG101="No data"),"x",IF('Indicator Data'!AG101&gt;F$150,0,IF('Indicator Data'!AG101&lt;F$149,10,(F$150-'Indicator Data'!AG101)/(F$150-F$149)*10)))</f>
        <v>6.48</v>
      </c>
      <c r="G99" s="144">
        <f>IF(OR('Indicator Data'!AE101=0,'Indicator Data'!AE101="No data"),"x",IF('Indicator Data'!AE101&gt;G$150,0,IF('Indicator Data'!AE101&lt;G$149,10,(G$150-'Indicator Data'!AE101)/(G$150-G$149)*10)))</f>
        <v>7.75</v>
      </c>
      <c r="H99" s="144">
        <f>IF(OR('Indicator Data'!AF101=0,'Indicator Data'!AF101="No data"),"x",IF('Indicator Data'!AF101&gt;H$150,0,IF('Indicator Data'!AF101&lt;H$149,10,(H$150-'Indicator Data'!AF101)/(H$150-H$149)*10)))</f>
        <v>5.26</v>
      </c>
      <c r="I99" s="144">
        <f t="shared" ref="I99:I130" si="32">AVERAGE(F99:H99)</f>
        <v>6.496666666666667</v>
      </c>
      <c r="J99" s="49">
        <f t="shared" si="19"/>
        <v>8.8930594691469853</v>
      </c>
      <c r="K99" s="13">
        <f>IF('Indicator Data'!K101="No data","x",IF('Indicator Data'!K101&gt;K$150,10,IF('Indicator Data'!K101&lt;K$149,0,10-(K$150-'Indicator Data'!K101)/(K$150-K$149)*10)))</f>
        <v>10</v>
      </c>
      <c r="L99" s="13" t="str">
        <f>IF('Indicator Data'!L101="No data","x",IF('Indicator Data'!L101&gt;L$150,10,IF('Indicator Data'!L101&lt;L$149,0,10-(L$150-'Indicator Data'!L101)/(L$150-L$149)*10)))</f>
        <v>x</v>
      </c>
      <c r="M99" s="13" t="str">
        <f>IF('Indicator Data'!M101="No data","x",IF('Indicator Data'!M101&gt;M$150,10,IF('Indicator Data'!M101&lt;M$149,0,10-(M$150-'Indicator Data'!M101)/(M$150-M$149)*10)))</f>
        <v>x</v>
      </c>
      <c r="N99" s="144"/>
      <c r="O99" s="49">
        <f t="shared" si="20"/>
        <v>10</v>
      </c>
      <c r="P99" s="42">
        <f t="shared" si="21"/>
        <v>9.2620396460979908</v>
      </c>
      <c r="Q99" s="33">
        <f>'Indicator Data'!AA101</f>
        <v>0</v>
      </c>
      <c r="R99" s="13">
        <f t="shared" si="22"/>
        <v>0</v>
      </c>
      <c r="S99" s="38">
        <f>Q99/'Indicator Data'!AN101</f>
        <v>0</v>
      </c>
      <c r="T99" s="13">
        <f t="shared" si="23"/>
        <v>0</v>
      </c>
      <c r="U99" s="14">
        <f t="shared" si="24"/>
        <v>0</v>
      </c>
      <c r="V99" s="33">
        <f>IF('Indicator Data'!Z101="",VLOOKUP($B99,'Indicator Data (national)'!$B$5:$AA$14,26,FALSE),'Indicator Data'!Z101)</f>
        <v>119768</v>
      </c>
      <c r="W99" s="13">
        <f t="shared" si="25"/>
        <v>6.9278026578450103</v>
      </c>
      <c r="X99" s="38">
        <f>IF('Indicator Data'!Z101="",V99/VLOOKUP($B99,'Indicator Data (national)'!$B$5:$AM$14,38,FALSE),V99/'Indicator Data'!AN101)</f>
        <v>0.25838687268349725</v>
      </c>
      <c r="Y99" s="13">
        <f t="shared" si="26"/>
        <v>10</v>
      </c>
      <c r="Z99" s="14">
        <f t="shared" si="27"/>
        <v>8.4639013289225051</v>
      </c>
      <c r="AA99" s="149">
        <f t="shared" si="28"/>
        <v>4.2319506644612526</v>
      </c>
      <c r="AB99" s="33">
        <f>VLOOKUP($B99,'Indicator Data (national)'!$B$5:$Z$14,25,FALSE)+VLOOKUP($B99,'Indicator Data (national)'!$B$5:$Z$14,24,FALSE)*0.5+VLOOKUP($B99,'Indicator Data (national)'!$B$5:$Z$14,23,FALSE)*0.25</f>
        <v>783050</v>
      </c>
      <c r="AC99" s="39">
        <f>AB99/VLOOKUP($B99,'Indicator Data (national)'!$B$5:$AM$14,38,FALSE)</f>
        <v>7.4607575396240494E-2</v>
      </c>
      <c r="AD99" s="49">
        <f t="shared" si="29"/>
        <v>7.4607575396240486</v>
      </c>
      <c r="AE99" s="13">
        <f>IF('Indicator Data'!V101="No data","x",IF(('Indicator Data'!V101)&gt;AE$150,10,IF(('Indicator Data'!V101)&lt;AE$149,0,10-(AE$150-('Indicator Data'!V101))/(AE$150-AE$149)*10)))</f>
        <v>1.306763186949599</v>
      </c>
      <c r="AF99" s="49">
        <f t="shared" si="30"/>
        <v>1.306763186949599</v>
      </c>
      <c r="AG99" s="34">
        <f t="shared" si="31"/>
        <v>5.1286921638068739</v>
      </c>
      <c r="AH99" s="52">
        <f t="shared" ref="AH99:AH130" si="33">(10-GEOMEAN(((10-Z99)/10*9+1),((10-AG99)/10*9+1)))/9*10</f>
        <v>7.1315737060281741</v>
      </c>
    </row>
    <row r="100" spans="1:34" s="11" customFormat="1" x14ac:dyDescent="0.25">
      <c r="A100" s="16" t="s">
        <v>480</v>
      </c>
      <c r="B100" s="11" t="s">
        <v>578</v>
      </c>
      <c r="C100" s="16" t="s">
        <v>481</v>
      </c>
      <c r="D100" s="13">
        <f>IF('Indicator Data'!I102="No data","x",IF('Indicator Data'!I102&gt;D$150,0,IF('Indicator Data'!I102&lt;D$149,10,(D$150-'Indicator Data'!I102)/(D$150-D$149)*10)))</f>
        <v>10</v>
      </c>
      <c r="E100" s="13">
        <f>IF('Indicator Data'!J102="No data","x",IF('Indicator Data'!J102&gt;E$150,10,IF('Indicator Data'!J102&lt;E$149,0,10-(E$150-'Indicator Data'!J102)/(E$150-E$149)*10)))</f>
        <v>8.9833333333333343</v>
      </c>
      <c r="F100" s="144">
        <f>IF(OR('Indicator Data'!AG102=0,'Indicator Data'!AG102="No data"),"x",IF('Indicator Data'!AG102&gt;F$150,0,IF('Indicator Data'!AG102&lt;F$149,10,(F$150-'Indicator Data'!AG102)/(F$150-F$149)*10)))</f>
        <v>7.6</v>
      </c>
      <c r="G100" s="144">
        <f>IF(OR('Indicator Data'!AE102=0,'Indicator Data'!AE102="No data"),"x",IF('Indicator Data'!AE102&gt;G$150,0,IF('Indicator Data'!AE102&lt;G$149,10,(G$150-'Indicator Data'!AE102)/(G$150-G$149)*10)))</f>
        <v>8.740000000000002</v>
      </c>
      <c r="H100" s="144">
        <f>IF(OR('Indicator Data'!AF102=0,'Indicator Data'!AF102="No data"),"x",IF('Indicator Data'!AF102&gt;H$150,0,IF('Indicator Data'!AF102&lt;H$149,10,(H$150-'Indicator Data'!AF102)/(H$150-H$149)*10)))</f>
        <v>6.6000000000000005</v>
      </c>
      <c r="I100" s="144">
        <f t="shared" si="32"/>
        <v>7.6466666666666683</v>
      </c>
      <c r="J100" s="49">
        <f t="shared" si="19"/>
        <v>9.573516388544661</v>
      </c>
      <c r="K100" s="13">
        <f>IF('Indicator Data'!K102="No data","x",IF('Indicator Data'!K102&gt;K$150,10,IF('Indicator Data'!K102&lt;K$149,0,10-(K$150-'Indicator Data'!K102)/(K$150-K$149)*10)))</f>
        <v>10</v>
      </c>
      <c r="L100" s="13" t="str">
        <f>IF('Indicator Data'!L102="No data","x",IF('Indicator Data'!L102&gt;L$150,10,IF('Indicator Data'!L102&lt;L$149,0,10-(L$150-'Indicator Data'!L102)/(L$150-L$149)*10)))</f>
        <v>x</v>
      </c>
      <c r="M100" s="13" t="str">
        <f>IF('Indicator Data'!M102="No data","x",IF('Indicator Data'!M102&gt;M$150,10,IF('Indicator Data'!M102&lt;M$149,0,10-(M$150-'Indicator Data'!M102)/(M$150-M$149)*10)))</f>
        <v>x</v>
      </c>
      <c r="N100" s="144"/>
      <c r="O100" s="49">
        <f t="shared" si="20"/>
        <v>10</v>
      </c>
      <c r="P100" s="42">
        <f t="shared" si="21"/>
        <v>9.7156775923631074</v>
      </c>
      <c r="Q100" s="33">
        <f>'Indicator Data'!AA102</f>
        <v>0</v>
      </c>
      <c r="R100" s="13">
        <f t="shared" si="22"/>
        <v>0</v>
      </c>
      <c r="S100" s="38">
        <f>Q100/'Indicator Data'!AN102</f>
        <v>0</v>
      </c>
      <c r="T100" s="13">
        <f t="shared" si="23"/>
        <v>0</v>
      </c>
      <c r="U100" s="14">
        <f t="shared" si="24"/>
        <v>0</v>
      </c>
      <c r="V100" s="33">
        <f>IF('Indicator Data'!Z102="",VLOOKUP($B100,'Indicator Data (national)'!$B$5:$AA$14,26,FALSE),'Indicator Data'!Z102)</f>
        <v>76728</v>
      </c>
      <c r="W100" s="13">
        <f t="shared" si="25"/>
        <v>6.283179593277648</v>
      </c>
      <c r="X100" s="38">
        <f>IF('Indicator Data'!Z102="",V100/VLOOKUP($B100,'Indicator Data (national)'!$B$5:$AM$14,38,FALSE),V100/'Indicator Data'!AN102)</f>
        <v>0.19390496311590374</v>
      </c>
      <c r="Y100" s="13">
        <f t="shared" si="26"/>
        <v>10</v>
      </c>
      <c r="Z100" s="14">
        <f t="shared" si="27"/>
        <v>8.141589796638824</v>
      </c>
      <c r="AA100" s="149">
        <f t="shared" si="28"/>
        <v>4.070794898319412</v>
      </c>
      <c r="AB100" s="33">
        <f>VLOOKUP($B100,'Indicator Data (national)'!$B$5:$Z$14,25,FALSE)+VLOOKUP($B100,'Indicator Data (national)'!$B$5:$Z$14,24,FALSE)*0.5+VLOOKUP($B100,'Indicator Data (national)'!$B$5:$Z$14,23,FALSE)*0.25</f>
        <v>783050</v>
      </c>
      <c r="AC100" s="39">
        <f>AB100/VLOOKUP($B100,'Indicator Data (national)'!$B$5:$AM$14,38,FALSE)</f>
        <v>7.4607575396240494E-2</v>
      </c>
      <c r="AD100" s="49">
        <f t="shared" si="29"/>
        <v>7.4607575396240486</v>
      </c>
      <c r="AE100" s="13">
        <f>IF('Indicator Data'!V102="No data","x",IF(('Indicator Data'!V102)&gt;AE$150,10,IF(('Indicator Data'!V102)&lt;AE$149,0,10-(AE$150-('Indicator Data'!V102))/(AE$150-AE$149)*10)))</f>
        <v>0.87567928389907834</v>
      </c>
      <c r="AF100" s="49">
        <f t="shared" si="30"/>
        <v>0.87567928389907834</v>
      </c>
      <c r="AG100" s="34">
        <f t="shared" si="31"/>
        <v>4.9985874812037547</v>
      </c>
      <c r="AH100" s="52">
        <f t="shared" si="33"/>
        <v>6.8506804751042996</v>
      </c>
    </row>
    <row r="101" spans="1:34" s="11" customFormat="1" x14ac:dyDescent="0.25">
      <c r="A101" s="16" t="s">
        <v>482</v>
      </c>
      <c r="B101" s="11" t="s">
        <v>578</v>
      </c>
      <c r="C101" s="16" t="s">
        <v>483</v>
      </c>
      <c r="D101" s="13">
        <f>IF('Indicator Data'!I103="No data","x",IF('Indicator Data'!I103&gt;D$150,0,IF('Indicator Data'!I103&lt;D$149,10,(D$150-'Indicator Data'!I103)/(D$150-D$149)*10)))</f>
        <v>10</v>
      </c>
      <c r="E101" s="13">
        <f>IF('Indicator Data'!J103="No data","x",IF('Indicator Data'!J103&gt;E$150,10,IF('Indicator Data'!J103&lt;E$149,0,10-(E$150-'Indicator Data'!J103)/(E$150-E$149)*10)))</f>
        <v>8.9833333333333343</v>
      </c>
      <c r="F101" s="144">
        <f>IF(OR('Indicator Data'!AG103=0,'Indicator Data'!AG103="No data"),"x",IF('Indicator Data'!AG103&gt;F$150,0,IF('Indicator Data'!AG103&lt;F$149,10,(F$150-'Indicator Data'!AG103)/(F$150-F$149)*10)))</f>
        <v>7.6</v>
      </c>
      <c r="G101" s="144">
        <f>IF(OR('Indicator Data'!AE103=0,'Indicator Data'!AE103="No data"),"x",IF('Indicator Data'!AE103&gt;G$150,0,IF('Indicator Data'!AE103&lt;G$149,10,(G$150-'Indicator Data'!AE103)/(G$150-G$149)*10)))</f>
        <v>8.740000000000002</v>
      </c>
      <c r="H101" s="144">
        <f>IF(OR('Indicator Data'!AF103=0,'Indicator Data'!AF103="No data"),"x",IF('Indicator Data'!AF103&gt;H$150,0,IF('Indicator Data'!AF103&lt;H$149,10,(H$150-'Indicator Data'!AF103)/(H$150-H$149)*10)))</f>
        <v>6.6000000000000005</v>
      </c>
      <c r="I101" s="144">
        <f t="shared" si="32"/>
        <v>7.6466666666666683</v>
      </c>
      <c r="J101" s="49">
        <f t="shared" si="19"/>
        <v>9.573516388544661</v>
      </c>
      <c r="K101" s="13">
        <f>IF('Indicator Data'!K103="No data","x",IF('Indicator Data'!K103&gt;K$150,10,IF('Indicator Data'!K103&lt;K$149,0,10-(K$150-'Indicator Data'!K103)/(K$150-K$149)*10)))</f>
        <v>10</v>
      </c>
      <c r="L101" s="13" t="str">
        <f>IF('Indicator Data'!L103="No data","x",IF('Indicator Data'!L103&gt;L$150,10,IF('Indicator Data'!L103&lt;L$149,0,10-(L$150-'Indicator Data'!L103)/(L$150-L$149)*10)))</f>
        <v>x</v>
      </c>
      <c r="M101" s="13" t="str">
        <f>IF('Indicator Data'!M103="No data","x",IF('Indicator Data'!M103&gt;M$150,10,IF('Indicator Data'!M103&lt;M$149,0,10-(M$150-'Indicator Data'!M103)/(M$150-M$149)*10)))</f>
        <v>x</v>
      </c>
      <c r="N101" s="144"/>
      <c r="O101" s="49">
        <f t="shared" si="20"/>
        <v>10</v>
      </c>
      <c r="P101" s="42">
        <f t="shared" si="21"/>
        <v>9.7156775923631074</v>
      </c>
      <c r="Q101" s="33">
        <f>'Indicator Data'!AA103</f>
        <v>0</v>
      </c>
      <c r="R101" s="13">
        <f t="shared" si="22"/>
        <v>0</v>
      </c>
      <c r="S101" s="38">
        <f>Q101/'Indicator Data'!AN103</f>
        <v>0</v>
      </c>
      <c r="T101" s="13">
        <f t="shared" si="23"/>
        <v>0</v>
      </c>
      <c r="U101" s="14">
        <f t="shared" si="24"/>
        <v>0</v>
      </c>
      <c r="V101" s="33">
        <f>IF('Indicator Data'!Z103="",VLOOKUP($B101,'Indicator Data (national)'!$B$5:$AA$14,26,FALSE),'Indicator Data'!Z103)</f>
        <v>51160</v>
      </c>
      <c r="W101" s="13">
        <f t="shared" si="25"/>
        <v>5.6964351193553879</v>
      </c>
      <c r="X101" s="38">
        <f>IF('Indicator Data'!Z103="",V101/VLOOKUP($B101,'Indicator Data (national)'!$B$5:$AM$14,38,FALSE),V101/'Indicator Data'!AN103)</f>
        <v>0.12254479256491328</v>
      </c>
      <c r="Y101" s="13">
        <f t="shared" si="26"/>
        <v>10</v>
      </c>
      <c r="Z101" s="14">
        <f t="shared" si="27"/>
        <v>7.8482175596776944</v>
      </c>
      <c r="AA101" s="149">
        <f t="shared" si="28"/>
        <v>3.9241087798388472</v>
      </c>
      <c r="AB101" s="33">
        <f>VLOOKUP($B101,'Indicator Data (national)'!$B$5:$Z$14,25,FALSE)+VLOOKUP($B101,'Indicator Data (national)'!$B$5:$Z$14,24,FALSE)*0.5+VLOOKUP($B101,'Indicator Data (national)'!$B$5:$Z$14,23,FALSE)*0.25</f>
        <v>783050</v>
      </c>
      <c r="AC101" s="39">
        <f>AB101/VLOOKUP($B101,'Indicator Data (national)'!$B$5:$AM$14,38,FALSE)</f>
        <v>7.4607575396240494E-2</v>
      </c>
      <c r="AD101" s="49">
        <f t="shared" si="29"/>
        <v>7.4607575396240486</v>
      </c>
      <c r="AE101" s="13">
        <f>IF('Indicator Data'!V103="No data","x",IF(('Indicator Data'!V103)&gt;AE$150,10,IF(('Indicator Data'!V103)&lt;AE$149,0,10-(AE$150-('Indicator Data'!V103))/(AE$150-AE$149)*10)))</f>
        <v>3.55646789951789</v>
      </c>
      <c r="AF101" s="49">
        <f t="shared" si="30"/>
        <v>3.55646789951789</v>
      </c>
      <c r="AG101" s="34">
        <f t="shared" si="31"/>
        <v>5.8597190262682926</v>
      </c>
      <c r="AH101" s="52">
        <f t="shared" si="33"/>
        <v>6.9716989101238607</v>
      </c>
    </row>
    <row r="102" spans="1:34" s="11" customFormat="1" x14ac:dyDescent="0.25">
      <c r="A102" s="16" t="s">
        <v>484</v>
      </c>
      <c r="B102" s="11" t="s">
        <v>578</v>
      </c>
      <c r="C102" s="16" t="s">
        <v>485</v>
      </c>
      <c r="D102" s="13">
        <f>IF('Indicator Data'!I104="No data","x",IF('Indicator Data'!I104&gt;D$150,0,IF('Indicator Data'!I104&lt;D$149,10,(D$150-'Indicator Data'!I104)/(D$150-D$149)*10)))</f>
        <v>10</v>
      </c>
      <c r="E102" s="13">
        <f>IF('Indicator Data'!J104="No data","x",IF('Indicator Data'!J104&gt;E$150,10,IF('Indicator Data'!J104&lt;E$149,0,10-(E$150-'Indicator Data'!J104)/(E$150-E$149)*10)))</f>
        <v>8.9833333333333343</v>
      </c>
      <c r="F102" s="144">
        <f>IF(OR('Indicator Data'!AG104=0,'Indicator Data'!AG104="No data"),"x",IF('Indicator Data'!AG104&gt;F$150,0,IF('Indicator Data'!AG104&lt;F$149,10,(F$150-'Indicator Data'!AG104)/(F$150-F$149)*10)))</f>
        <v>7.6</v>
      </c>
      <c r="G102" s="144">
        <f>IF(OR('Indicator Data'!AE104=0,'Indicator Data'!AE104="No data"),"x",IF('Indicator Data'!AE104&gt;G$150,0,IF('Indicator Data'!AE104&lt;G$149,10,(G$150-'Indicator Data'!AE104)/(G$150-G$149)*10)))</f>
        <v>8.740000000000002</v>
      </c>
      <c r="H102" s="144">
        <f>IF(OR('Indicator Data'!AF104=0,'Indicator Data'!AF104="No data"),"x",IF('Indicator Data'!AF104&gt;H$150,0,IF('Indicator Data'!AF104&lt;H$149,10,(H$150-'Indicator Data'!AF104)/(H$150-H$149)*10)))</f>
        <v>6.6000000000000005</v>
      </c>
      <c r="I102" s="144">
        <f t="shared" si="32"/>
        <v>7.6466666666666683</v>
      </c>
      <c r="J102" s="49">
        <f t="shared" si="19"/>
        <v>9.573516388544661</v>
      </c>
      <c r="K102" s="13">
        <f>IF('Indicator Data'!K104="No data","x",IF('Indicator Data'!K104&gt;K$150,10,IF('Indicator Data'!K104&lt;K$149,0,10-(K$150-'Indicator Data'!K104)/(K$150-K$149)*10)))</f>
        <v>10</v>
      </c>
      <c r="L102" s="13" t="str">
        <f>IF('Indicator Data'!L104="No data","x",IF('Indicator Data'!L104&gt;L$150,10,IF('Indicator Data'!L104&lt;L$149,0,10-(L$150-'Indicator Data'!L104)/(L$150-L$149)*10)))</f>
        <v>x</v>
      </c>
      <c r="M102" s="13" t="str">
        <f>IF('Indicator Data'!M104="No data","x",IF('Indicator Data'!M104&gt;M$150,10,IF('Indicator Data'!M104&lt;M$149,0,10-(M$150-'Indicator Data'!M104)/(M$150-M$149)*10)))</f>
        <v>x</v>
      </c>
      <c r="N102" s="144"/>
      <c r="O102" s="49">
        <f t="shared" si="20"/>
        <v>10</v>
      </c>
      <c r="P102" s="42">
        <f t="shared" si="21"/>
        <v>9.7156775923631074</v>
      </c>
      <c r="Q102" s="33">
        <f>'Indicator Data'!AA104</f>
        <v>0</v>
      </c>
      <c r="R102" s="13">
        <f t="shared" si="22"/>
        <v>0</v>
      </c>
      <c r="S102" s="38">
        <f>Q102/'Indicator Data'!AN104</f>
        <v>0</v>
      </c>
      <c r="T102" s="13">
        <f t="shared" si="23"/>
        <v>0</v>
      </c>
      <c r="U102" s="14">
        <f t="shared" si="24"/>
        <v>0</v>
      </c>
      <c r="V102" s="33">
        <f>IF('Indicator Data'!Z104="",VLOOKUP($B102,'Indicator Data (national)'!$B$5:$AA$14,26,FALSE),'Indicator Data'!Z104)</f>
        <v>30600</v>
      </c>
      <c r="W102" s="13">
        <f t="shared" si="25"/>
        <v>4.9524047549385983</v>
      </c>
      <c r="X102" s="38">
        <f>IF('Indicator Data'!Z104="",V102/VLOOKUP($B102,'Indicator Data (national)'!$B$5:$AM$14,38,FALSE),V102/'Indicator Data'!AN104)</f>
        <v>5.6218377162845896E-2</v>
      </c>
      <c r="Y102" s="13">
        <f t="shared" si="26"/>
        <v>8.6170806373884385</v>
      </c>
      <c r="Z102" s="14">
        <f t="shared" si="27"/>
        <v>6.7847426961635184</v>
      </c>
      <c r="AA102" s="149">
        <f t="shared" si="28"/>
        <v>3.3923713480817592</v>
      </c>
      <c r="AB102" s="33">
        <f>VLOOKUP($B102,'Indicator Data (national)'!$B$5:$Z$14,25,FALSE)+VLOOKUP($B102,'Indicator Data (national)'!$B$5:$Z$14,24,FALSE)*0.5+VLOOKUP($B102,'Indicator Data (national)'!$B$5:$Z$14,23,FALSE)*0.25</f>
        <v>783050</v>
      </c>
      <c r="AC102" s="39">
        <f>AB102/VLOOKUP($B102,'Indicator Data (national)'!$B$5:$AM$14,38,FALSE)</f>
        <v>7.4607575396240494E-2</v>
      </c>
      <c r="AD102" s="49">
        <f t="shared" si="29"/>
        <v>7.4607575396240486</v>
      </c>
      <c r="AE102" s="13">
        <f>IF('Indicator Data'!V104="No data","x",IF(('Indicator Data'!V104)&gt;AE$150,10,IF(('Indicator Data'!V104)&lt;AE$149,0,10-(AE$150-('Indicator Data'!V104))/(AE$150-AE$149)*10)))</f>
        <v>5.7004288396666176</v>
      </c>
      <c r="AF102" s="49">
        <f t="shared" si="30"/>
        <v>5.7004288396666176</v>
      </c>
      <c r="AG102" s="34">
        <f t="shared" si="31"/>
        <v>6.6669122683781321</v>
      </c>
      <c r="AH102" s="52">
        <f t="shared" si="33"/>
        <v>6.7262232558807629</v>
      </c>
    </row>
    <row r="103" spans="1:34" s="11" customFormat="1" x14ac:dyDescent="0.25">
      <c r="A103" s="16" t="s">
        <v>486</v>
      </c>
      <c r="B103" s="11" t="s">
        <v>578</v>
      </c>
      <c r="C103" s="16" t="s">
        <v>487</v>
      </c>
      <c r="D103" s="13">
        <f>IF('Indicator Data'!I105="No data","x",IF('Indicator Data'!I105&gt;D$150,0,IF('Indicator Data'!I105&lt;D$149,10,(D$150-'Indicator Data'!I105)/(D$150-D$149)*10)))</f>
        <v>10</v>
      </c>
      <c r="E103" s="13">
        <f>IF('Indicator Data'!J105="No data","x",IF('Indicator Data'!J105&gt;E$150,10,IF('Indicator Data'!J105&lt;E$149,0,10-(E$150-'Indicator Data'!J105)/(E$150-E$149)*10)))</f>
        <v>8.9833333333333343</v>
      </c>
      <c r="F103" s="144">
        <f>IF(OR('Indicator Data'!AG105=0,'Indicator Data'!AG105="No data"),"x",IF('Indicator Data'!AG105&gt;F$150,0,IF('Indicator Data'!AG105&lt;F$149,10,(F$150-'Indicator Data'!AG105)/(F$150-F$149)*10)))</f>
        <v>7.6</v>
      </c>
      <c r="G103" s="144">
        <f>IF(OR('Indicator Data'!AE105=0,'Indicator Data'!AE105="No data"),"x",IF('Indicator Data'!AE105&gt;G$150,0,IF('Indicator Data'!AE105&lt;G$149,10,(G$150-'Indicator Data'!AE105)/(G$150-G$149)*10)))</f>
        <v>8.740000000000002</v>
      </c>
      <c r="H103" s="144">
        <f>IF(OR('Indicator Data'!AF105=0,'Indicator Data'!AF105="No data"),"x",IF('Indicator Data'!AF105&gt;H$150,0,IF('Indicator Data'!AF105&lt;H$149,10,(H$150-'Indicator Data'!AF105)/(H$150-H$149)*10)))</f>
        <v>6.6000000000000005</v>
      </c>
      <c r="I103" s="144">
        <f t="shared" si="32"/>
        <v>7.6466666666666683</v>
      </c>
      <c r="J103" s="49">
        <f t="shared" si="19"/>
        <v>9.573516388544661</v>
      </c>
      <c r="K103" s="13">
        <f>IF('Indicator Data'!K105="No data","x",IF('Indicator Data'!K105&gt;K$150,10,IF('Indicator Data'!K105&lt;K$149,0,10-(K$150-'Indicator Data'!K105)/(K$150-K$149)*10)))</f>
        <v>10</v>
      </c>
      <c r="L103" s="13" t="str">
        <f>IF('Indicator Data'!L105="No data","x",IF('Indicator Data'!L105&gt;L$150,10,IF('Indicator Data'!L105&lt;L$149,0,10-(L$150-'Indicator Data'!L105)/(L$150-L$149)*10)))</f>
        <v>x</v>
      </c>
      <c r="M103" s="13" t="str">
        <f>IF('Indicator Data'!M105="No data","x",IF('Indicator Data'!M105&gt;M$150,10,IF('Indicator Data'!M105&lt;M$149,0,10-(M$150-'Indicator Data'!M105)/(M$150-M$149)*10)))</f>
        <v>x</v>
      </c>
      <c r="N103" s="144"/>
      <c r="O103" s="49">
        <f t="shared" si="20"/>
        <v>10</v>
      </c>
      <c r="P103" s="42">
        <f t="shared" si="21"/>
        <v>9.7156775923631074</v>
      </c>
      <c r="Q103" s="33">
        <f>'Indicator Data'!AA105</f>
        <v>0</v>
      </c>
      <c r="R103" s="13">
        <f t="shared" si="22"/>
        <v>0</v>
      </c>
      <c r="S103" s="38">
        <f>Q103/'Indicator Data'!AN105</f>
        <v>0</v>
      </c>
      <c r="T103" s="13">
        <f t="shared" si="23"/>
        <v>0</v>
      </c>
      <c r="U103" s="14">
        <f t="shared" si="24"/>
        <v>0</v>
      </c>
      <c r="V103" s="33">
        <f>IF('Indicator Data'!Z105="",VLOOKUP($B103,'Indicator Data (national)'!$B$5:$AA$14,26,FALSE),'Indicator Data'!Z105)</f>
        <v>161770</v>
      </c>
      <c r="W103" s="13">
        <f t="shared" si="25"/>
        <v>7.3629932849778879</v>
      </c>
      <c r="X103" s="38">
        <f>IF('Indicator Data'!Z105="",V103/VLOOKUP($B103,'Indicator Data (national)'!$B$5:$AM$14,38,FALSE),V103/'Indicator Data'!AN105)</f>
        <v>0.1425849145742108</v>
      </c>
      <c r="Y103" s="13">
        <f t="shared" si="26"/>
        <v>10</v>
      </c>
      <c r="Z103" s="14">
        <f t="shared" si="27"/>
        <v>8.6814966424889448</v>
      </c>
      <c r="AA103" s="149">
        <f t="shared" si="28"/>
        <v>4.3407483212444724</v>
      </c>
      <c r="AB103" s="33">
        <f>VLOOKUP($B103,'Indicator Data (national)'!$B$5:$Z$14,25,FALSE)+VLOOKUP($B103,'Indicator Data (national)'!$B$5:$Z$14,24,FALSE)*0.5+VLOOKUP($B103,'Indicator Data (national)'!$B$5:$Z$14,23,FALSE)*0.25</f>
        <v>783050</v>
      </c>
      <c r="AC103" s="39">
        <f>AB103/VLOOKUP($B103,'Indicator Data (national)'!$B$5:$AM$14,38,FALSE)</f>
        <v>7.4607575396240494E-2</v>
      </c>
      <c r="AD103" s="49">
        <f t="shared" si="29"/>
        <v>7.4607575396240486</v>
      </c>
      <c r="AE103" s="13">
        <f>IF('Indicator Data'!V105="No data","x",IF(('Indicator Data'!V105)&gt;AE$150,10,IF(('Indicator Data'!V105)&lt;AE$149,0,10-(AE$150-('Indicator Data'!V105))/(AE$150-AE$149)*10)))</f>
        <v>0.12543513655083594</v>
      </c>
      <c r="AF103" s="49">
        <f t="shared" si="30"/>
        <v>0.12543513655083594</v>
      </c>
      <c r="AG103" s="34">
        <f t="shared" si="31"/>
        <v>4.7785285787681087</v>
      </c>
      <c r="AH103" s="52">
        <f t="shared" si="33"/>
        <v>7.1886457965003414</v>
      </c>
    </row>
    <row r="104" spans="1:34" s="11" customFormat="1" x14ac:dyDescent="0.25">
      <c r="A104" s="16" t="s">
        <v>488</v>
      </c>
      <c r="B104" s="11" t="s">
        <v>578</v>
      </c>
      <c r="C104" s="16" t="s">
        <v>489</v>
      </c>
      <c r="D104" s="13">
        <f>IF('Indicator Data'!I106="No data","x",IF('Indicator Data'!I106&gt;D$150,0,IF('Indicator Data'!I106&lt;D$149,10,(D$150-'Indicator Data'!I106)/(D$150-D$149)*10)))</f>
        <v>10</v>
      </c>
      <c r="E104" s="13">
        <f>IF('Indicator Data'!J106="No data","x",IF('Indicator Data'!J106&gt;E$150,10,IF('Indicator Data'!J106&lt;E$149,0,10-(E$150-'Indicator Data'!J106)/(E$150-E$149)*10)))</f>
        <v>8.9833333333333343</v>
      </c>
      <c r="F104" s="144">
        <f>IF(OR('Indicator Data'!AG106=0,'Indicator Data'!AG106="No data"),"x",IF('Indicator Data'!AG106&gt;F$150,0,IF('Indicator Data'!AG106&lt;F$149,10,(F$150-'Indicator Data'!AG106)/(F$150-F$149)*10)))</f>
        <v>7.6</v>
      </c>
      <c r="G104" s="144">
        <f>IF(OR('Indicator Data'!AE106=0,'Indicator Data'!AE106="No data"),"x",IF('Indicator Data'!AE106&gt;G$150,0,IF('Indicator Data'!AE106&lt;G$149,10,(G$150-'Indicator Data'!AE106)/(G$150-G$149)*10)))</f>
        <v>8.740000000000002</v>
      </c>
      <c r="H104" s="144">
        <f>IF(OR('Indicator Data'!AF106=0,'Indicator Data'!AF106="No data"),"x",IF('Indicator Data'!AF106&gt;H$150,0,IF('Indicator Data'!AF106&lt;H$149,10,(H$150-'Indicator Data'!AF106)/(H$150-H$149)*10)))</f>
        <v>6.6000000000000005</v>
      </c>
      <c r="I104" s="144">
        <f t="shared" si="32"/>
        <v>7.6466666666666683</v>
      </c>
      <c r="J104" s="49">
        <f t="shared" si="19"/>
        <v>9.573516388544661</v>
      </c>
      <c r="K104" s="13">
        <f>IF('Indicator Data'!K106="No data","x",IF('Indicator Data'!K106&gt;K$150,10,IF('Indicator Data'!K106&lt;K$149,0,10-(K$150-'Indicator Data'!K106)/(K$150-K$149)*10)))</f>
        <v>10</v>
      </c>
      <c r="L104" s="13" t="str">
        <f>IF('Indicator Data'!L106="No data","x",IF('Indicator Data'!L106&gt;L$150,10,IF('Indicator Data'!L106&lt;L$149,0,10-(L$150-'Indicator Data'!L106)/(L$150-L$149)*10)))</f>
        <v>x</v>
      </c>
      <c r="M104" s="13" t="str">
        <f>IF('Indicator Data'!M106="No data","x",IF('Indicator Data'!M106&gt;M$150,10,IF('Indicator Data'!M106&lt;M$149,0,10-(M$150-'Indicator Data'!M106)/(M$150-M$149)*10)))</f>
        <v>x</v>
      </c>
      <c r="N104" s="144"/>
      <c r="O104" s="49">
        <f t="shared" si="20"/>
        <v>10</v>
      </c>
      <c r="P104" s="42">
        <f t="shared" si="21"/>
        <v>9.7156775923631074</v>
      </c>
      <c r="Q104" s="33">
        <f>'Indicator Data'!AA106</f>
        <v>0</v>
      </c>
      <c r="R104" s="13">
        <f t="shared" si="22"/>
        <v>0</v>
      </c>
      <c r="S104" s="38">
        <f>Q104/'Indicator Data'!AN106</f>
        <v>0</v>
      </c>
      <c r="T104" s="13">
        <f t="shared" si="23"/>
        <v>0</v>
      </c>
      <c r="U104" s="14">
        <f t="shared" si="24"/>
        <v>0</v>
      </c>
      <c r="V104" s="33">
        <f>IF('Indicator Data'!Z106="",VLOOKUP($B104,'Indicator Data (national)'!$B$5:$AA$14,26,FALSE),'Indicator Data'!Z106)</f>
        <v>27000</v>
      </c>
      <c r="W104" s="13">
        <f t="shared" si="25"/>
        <v>4.7712125471966225</v>
      </c>
      <c r="X104" s="38">
        <f>IF('Indicator Data'!Z106="",V104/VLOOKUP($B104,'Indicator Data (national)'!$B$5:$AM$14,38,FALSE),V104/'Indicator Data'!AN106)</f>
        <v>7.4668761079323118E-2</v>
      </c>
      <c r="Y104" s="13">
        <f t="shared" si="26"/>
        <v>9.2418965796237167</v>
      </c>
      <c r="Z104" s="14">
        <f t="shared" si="27"/>
        <v>7.0065545634101696</v>
      </c>
      <c r="AA104" s="149">
        <f t="shared" si="28"/>
        <v>3.5032772817050848</v>
      </c>
      <c r="AB104" s="33">
        <f>VLOOKUP($B104,'Indicator Data (national)'!$B$5:$Z$14,25,FALSE)+VLOOKUP($B104,'Indicator Data (national)'!$B$5:$Z$14,24,FALSE)*0.5+VLOOKUP($B104,'Indicator Data (national)'!$B$5:$Z$14,23,FALSE)*0.25</f>
        <v>783050</v>
      </c>
      <c r="AC104" s="39">
        <f>AB104/VLOOKUP($B104,'Indicator Data (national)'!$B$5:$AM$14,38,FALSE)</f>
        <v>7.4607575396240494E-2</v>
      </c>
      <c r="AD104" s="49">
        <f t="shared" si="29"/>
        <v>7.4607575396240486</v>
      </c>
      <c r="AE104" s="13">
        <f>IF('Indicator Data'!V106="No data","x",IF(('Indicator Data'!V106)&gt;AE$150,10,IF(('Indicator Data'!V106)&lt;AE$149,0,10-(AE$150-('Indicator Data'!V106))/(AE$150-AE$149)*10)))</f>
        <v>5.8673367382641093</v>
      </c>
      <c r="AF104" s="49">
        <f t="shared" si="30"/>
        <v>5.8673367382641093</v>
      </c>
      <c r="AG104" s="34">
        <f t="shared" si="31"/>
        <v>6.7359961971923488</v>
      </c>
      <c r="AH104" s="52">
        <f t="shared" si="33"/>
        <v>6.8734340862696355</v>
      </c>
    </row>
    <row r="105" spans="1:34" s="11" customFormat="1" x14ac:dyDescent="0.25">
      <c r="A105" s="16" t="s">
        <v>490</v>
      </c>
      <c r="B105" s="11" t="s">
        <v>578</v>
      </c>
      <c r="C105" s="16" t="s">
        <v>491</v>
      </c>
      <c r="D105" s="13">
        <f>IF('Indicator Data'!I107="No data","x",IF('Indicator Data'!I107&gt;D$150,0,IF('Indicator Data'!I107&lt;D$149,10,(D$150-'Indicator Data'!I107)/(D$150-D$149)*10)))</f>
        <v>10</v>
      </c>
      <c r="E105" s="13">
        <f>IF('Indicator Data'!J107="No data","x",IF('Indicator Data'!J107&gt;E$150,10,IF('Indicator Data'!J107&lt;E$149,0,10-(E$150-'Indicator Data'!J107)/(E$150-E$149)*10)))</f>
        <v>8.9833333333333343</v>
      </c>
      <c r="F105" s="144">
        <f>IF(OR('Indicator Data'!AG107=0,'Indicator Data'!AG107="No data"),"x",IF('Indicator Data'!AG107&gt;F$150,0,IF('Indicator Data'!AG107&lt;F$149,10,(F$150-'Indicator Data'!AG107)/(F$150-F$149)*10)))</f>
        <v>7.6</v>
      </c>
      <c r="G105" s="144">
        <f>IF(OR('Indicator Data'!AE107=0,'Indicator Data'!AE107="No data"),"x",IF('Indicator Data'!AE107&gt;G$150,0,IF('Indicator Data'!AE107&lt;G$149,10,(G$150-'Indicator Data'!AE107)/(G$150-G$149)*10)))</f>
        <v>8.740000000000002</v>
      </c>
      <c r="H105" s="144">
        <f>IF(OR('Indicator Data'!AF107=0,'Indicator Data'!AF107="No data"),"x",IF('Indicator Data'!AF107&gt;H$150,0,IF('Indicator Data'!AF107&lt;H$149,10,(H$150-'Indicator Data'!AF107)/(H$150-H$149)*10)))</f>
        <v>6.6000000000000005</v>
      </c>
      <c r="I105" s="144">
        <f t="shared" si="32"/>
        <v>7.6466666666666683</v>
      </c>
      <c r="J105" s="49">
        <f t="shared" si="19"/>
        <v>9.573516388544661</v>
      </c>
      <c r="K105" s="13">
        <f>IF('Indicator Data'!K107="No data","x",IF('Indicator Data'!K107&gt;K$150,10,IF('Indicator Data'!K107&lt;K$149,0,10-(K$150-'Indicator Data'!K107)/(K$150-K$149)*10)))</f>
        <v>10</v>
      </c>
      <c r="L105" s="13" t="str">
        <f>IF('Indicator Data'!L107="No data","x",IF('Indicator Data'!L107&gt;L$150,10,IF('Indicator Data'!L107&lt;L$149,0,10-(L$150-'Indicator Data'!L107)/(L$150-L$149)*10)))</f>
        <v>x</v>
      </c>
      <c r="M105" s="13" t="str">
        <f>IF('Indicator Data'!M107="No data","x",IF('Indicator Data'!M107&gt;M$150,10,IF('Indicator Data'!M107&lt;M$149,0,10-(M$150-'Indicator Data'!M107)/(M$150-M$149)*10)))</f>
        <v>x</v>
      </c>
      <c r="N105" s="144"/>
      <c r="O105" s="49">
        <f t="shared" si="20"/>
        <v>10</v>
      </c>
      <c r="P105" s="42">
        <f t="shared" si="21"/>
        <v>9.7156775923631074</v>
      </c>
      <c r="Q105" s="33">
        <f>'Indicator Data'!AA107</f>
        <v>0</v>
      </c>
      <c r="R105" s="13">
        <f t="shared" si="22"/>
        <v>0</v>
      </c>
      <c r="S105" s="38">
        <f>Q105/'Indicator Data'!AN107</f>
        <v>0</v>
      </c>
      <c r="T105" s="13">
        <f t="shared" si="23"/>
        <v>0</v>
      </c>
      <c r="U105" s="14">
        <f t="shared" si="24"/>
        <v>0</v>
      </c>
      <c r="V105" s="33">
        <f>IF('Indicator Data'!Z107="",VLOOKUP($B105,'Indicator Data (national)'!$B$5:$AA$14,26,FALSE),'Indicator Data'!Z107)</f>
        <v>51960</v>
      </c>
      <c r="W105" s="13">
        <f t="shared" si="25"/>
        <v>5.7188971413366358</v>
      </c>
      <c r="X105" s="38">
        <f>IF('Indicator Data'!Z107="",V105/VLOOKUP($B105,'Indicator Data (national)'!$B$5:$AM$14,38,FALSE),V105/'Indicator Data'!AN107)</f>
        <v>6.8265932330540596E-2</v>
      </c>
      <c r="Y105" s="13">
        <f t="shared" si="26"/>
        <v>9.0397873381764118</v>
      </c>
      <c r="Z105" s="14">
        <f t="shared" si="27"/>
        <v>7.3793422397565234</v>
      </c>
      <c r="AA105" s="149">
        <f t="shared" si="28"/>
        <v>3.6896711198782617</v>
      </c>
      <c r="AB105" s="33">
        <f>VLOOKUP($B105,'Indicator Data (national)'!$B$5:$Z$14,25,FALSE)+VLOOKUP($B105,'Indicator Data (national)'!$B$5:$Z$14,24,FALSE)*0.5+VLOOKUP($B105,'Indicator Data (national)'!$B$5:$Z$14,23,FALSE)*0.25</f>
        <v>783050</v>
      </c>
      <c r="AC105" s="39">
        <f>AB105/VLOOKUP($B105,'Indicator Data (national)'!$B$5:$AM$14,38,FALSE)</f>
        <v>7.4607575396240494E-2</v>
      </c>
      <c r="AD105" s="49">
        <f t="shared" si="29"/>
        <v>7.4607575396240486</v>
      </c>
      <c r="AE105" s="13">
        <f>IF('Indicator Data'!V107="No data","x",IF(('Indicator Data'!V107)&gt;AE$150,10,IF(('Indicator Data'!V107)&lt;AE$149,0,10-(AE$150-('Indicator Data'!V107))/(AE$150-AE$149)*10)))</f>
        <v>0.47957731665126602</v>
      </c>
      <c r="AF105" s="49">
        <f t="shared" si="30"/>
        <v>0.47957731665126602</v>
      </c>
      <c r="AG105" s="34">
        <f t="shared" si="31"/>
        <v>4.881435569239617</v>
      </c>
      <c r="AH105" s="52">
        <f t="shared" si="33"/>
        <v>6.2895232745374514</v>
      </c>
    </row>
    <row r="106" spans="1:34" s="11" customFormat="1" x14ac:dyDescent="0.25">
      <c r="A106" s="16" t="s">
        <v>492</v>
      </c>
      <c r="B106" s="11" t="s">
        <v>578</v>
      </c>
      <c r="C106" s="16" t="s">
        <v>493</v>
      </c>
      <c r="D106" s="13">
        <f>IF('Indicator Data'!I108="No data","x",IF('Indicator Data'!I108&gt;D$150,0,IF('Indicator Data'!I108&lt;D$149,10,(D$150-'Indicator Data'!I108)/(D$150-D$149)*10)))</f>
        <v>10</v>
      </c>
      <c r="E106" s="13">
        <f>IF('Indicator Data'!J108="No data","x",IF('Indicator Data'!J108&gt;E$150,10,IF('Indicator Data'!J108&lt;E$149,0,10-(E$150-'Indicator Data'!J108)/(E$150-E$149)*10)))</f>
        <v>6.6833333333333336</v>
      </c>
      <c r="F106" s="144">
        <f>IF(OR('Indicator Data'!AG108=0,'Indicator Data'!AG108="No data"),"x",IF('Indicator Data'!AG108&gt;F$150,0,IF('Indicator Data'!AG108&lt;F$149,10,(F$150-'Indicator Data'!AG108)/(F$150-F$149)*10)))</f>
        <v>6.48</v>
      </c>
      <c r="G106" s="144">
        <f>IF(OR('Indicator Data'!AE108=0,'Indicator Data'!AE108="No data"),"x",IF('Indicator Data'!AE108&gt;G$150,0,IF('Indicator Data'!AE108&lt;G$149,10,(G$150-'Indicator Data'!AE108)/(G$150-G$149)*10)))</f>
        <v>7.75</v>
      </c>
      <c r="H106" s="144">
        <f>IF(OR('Indicator Data'!AF108=0,'Indicator Data'!AF108="No data"),"x",IF('Indicator Data'!AF108&gt;H$150,0,IF('Indicator Data'!AF108&lt;H$149,10,(H$150-'Indicator Data'!AF108)/(H$150-H$149)*10)))</f>
        <v>5.26</v>
      </c>
      <c r="I106" s="144">
        <f t="shared" si="32"/>
        <v>6.496666666666667</v>
      </c>
      <c r="J106" s="49">
        <f t="shared" si="19"/>
        <v>8.8930594691469853</v>
      </c>
      <c r="K106" s="13">
        <f>IF('Indicator Data'!K108="No data","x",IF('Indicator Data'!K108&gt;K$150,10,IF('Indicator Data'!K108&lt;K$149,0,10-(K$150-'Indicator Data'!K108)/(K$150-K$149)*10)))</f>
        <v>10</v>
      </c>
      <c r="L106" s="13" t="str">
        <f>IF('Indicator Data'!L108="No data","x",IF('Indicator Data'!L108&gt;L$150,10,IF('Indicator Data'!L108&lt;L$149,0,10-(L$150-'Indicator Data'!L108)/(L$150-L$149)*10)))</f>
        <v>x</v>
      </c>
      <c r="M106" s="13" t="str">
        <f>IF('Indicator Data'!M108="No data","x",IF('Indicator Data'!M108&gt;M$150,10,IF('Indicator Data'!M108&lt;M$149,0,10-(M$150-'Indicator Data'!M108)/(M$150-M$149)*10)))</f>
        <v>x</v>
      </c>
      <c r="N106" s="144"/>
      <c r="O106" s="49">
        <f t="shared" si="20"/>
        <v>10</v>
      </c>
      <c r="P106" s="42">
        <f t="shared" si="21"/>
        <v>9.2620396460979908</v>
      </c>
      <c r="Q106" s="33">
        <f>'Indicator Data'!AA108</f>
        <v>0</v>
      </c>
      <c r="R106" s="13">
        <f t="shared" si="22"/>
        <v>0</v>
      </c>
      <c r="S106" s="38">
        <f>Q106/'Indicator Data'!AN108</f>
        <v>0</v>
      </c>
      <c r="T106" s="13">
        <f t="shared" si="23"/>
        <v>0</v>
      </c>
      <c r="U106" s="14">
        <f t="shared" si="24"/>
        <v>0</v>
      </c>
      <c r="V106" s="33">
        <f>IF('Indicator Data'!Z108="",VLOOKUP($B106,'Indicator Data (national)'!$B$5:$AA$14,26,FALSE),'Indicator Data'!Z108)</f>
        <v>70882</v>
      </c>
      <c r="W106" s="13">
        <f t="shared" si="25"/>
        <v>6.1684532102169305</v>
      </c>
      <c r="X106" s="38">
        <f>IF('Indicator Data'!Z108="",V106/VLOOKUP($B106,'Indicator Data (national)'!$B$5:$AM$14,38,FALSE),V106/'Indicator Data'!AN108)</f>
        <v>0.10347737226277372</v>
      </c>
      <c r="Y106" s="13">
        <f t="shared" si="26"/>
        <v>10</v>
      </c>
      <c r="Z106" s="14">
        <f t="shared" si="27"/>
        <v>8.0842266051084657</v>
      </c>
      <c r="AA106" s="149">
        <f t="shared" si="28"/>
        <v>4.0421133025542328</v>
      </c>
      <c r="AB106" s="33">
        <f>VLOOKUP($B106,'Indicator Data (national)'!$B$5:$Z$14,25,FALSE)+VLOOKUP($B106,'Indicator Data (national)'!$B$5:$Z$14,24,FALSE)*0.5+VLOOKUP($B106,'Indicator Data (national)'!$B$5:$Z$14,23,FALSE)*0.25</f>
        <v>783050</v>
      </c>
      <c r="AC106" s="39">
        <f>AB106/VLOOKUP($B106,'Indicator Data (national)'!$B$5:$AM$14,38,FALSE)</f>
        <v>7.4607575396240494E-2</v>
      </c>
      <c r="AD106" s="49">
        <f t="shared" si="29"/>
        <v>7.4607575396240486</v>
      </c>
      <c r="AE106" s="13">
        <f>IF('Indicator Data'!V108="No data","x",IF(('Indicator Data'!V108)&gt;AE$150,10,IF(('Indicator Data'!V108)&lt;AE$149,0,10-(AE$150-('Indicator Data'!V108))/(AE$150-AE$149)*10)))</f>
        <v>6.4778203289371596</v>
      </c>
      <c r="AF106" s="49">
        <f t="shared" si="30"/>
        <v>6.4778203289371596</v>
      </c>
      <c r="AG106" s="34">
        <f t="shared" si="31"/>
        <v>6.9985511353239165</v>
      </c>
      <c r="AH106" s="52">
        <f t="shared" si="33"/>
        <v>7.5829041910571204</v>
      </c>
    </row>
    <row r="107" spans="1:34" s="11" customFormat="1" x14ac:dyDescent="0.25">
      <c r="A107" s="16" t="s">
        <v>494</v>
      </c>
      <c r="B107" s="11" t="s">
        <v>578</v>
      </c>
      <c r="C107" s="16" t="s">
        <v>495</v>
      </c>
      <c r="D107" s="13">
        <f>IF('Indicator Data'!I109="No data","x",IF('Indicator Data'!I109&gt;D$150,0,IF('Indicator Data'!I109&lt;D$149,10,(D$150-'Indicator Data'!I109)/(D$150-D$149)*10)))</f>
        <v>10</v>
      </c>
      <c r="E107" s="13">
        <f>IF('Indicator Data'!J109="No data","x",IF('Indicator Data'!J109&gt;E$150,10,IF('Indicator Data'!J109&lt;E$149,0,10-(E$150-'Indicator Data'!J109)/(E$150-E$149)*10)))</f>
        <v>6.6833333333333336</v>
      </c>
      <c r="F107" s="144">
        <f>IF(OR('Indicator Data'!AG109=0,'Indicator Data'!AG109="No data"),"x",IF('Indicator Data'!AG109&gt;F$150,0,IF('Indicator Data'!AG109&lt;F$149,10,(F$150-'Indicator Data'!AG109)/(F$150-F$149)*10)))</f>
        <v>6.48</v>
      </c>
      <c r="G107" s="144">
        <f>IF(OR('Indicator Data'!AE109=0,'Indicator Data'!AE109="No data"),"x",IF('Indicator Data'!AE109&gt;G$150,0,IF('Indicator Data'!AE109&lt;G$149,10,(G$150-'Indicator Data'!AE109)/(G$150-G$149)*10)))</f>
        <v>7.75</v>
      </c>
      <c r="H107" s="144">
        <f>IF(OR('Indicator Data'!AF109=0,'Indicator Data'!AF109="No data"),"x",IF('Indicator Data'!AF109&gt;H$150,0,IF('Indicator Data'!AF109&lt;H$149,10,(H$150-'Indicator Data'!AF109)/(H$150-H$149)*10)))</f>
        <v>5.26</v>
      </c>
      <c r="I107" s="144">
        <f t="shared" si="32"/>
        <v>6.496666666666667</v>
      </c>
      <c r="J107" s="49">
        <f t="shared" si="19"/>
        <v>8.8930594691469853</v>
      </c>
      <c r="K107" s="13">
        <f>IF('Indicator Data'!K109="No data","x",IF('Indicator Data'!K109&gt;K$150,10,IF('Indicator Data'!K109&lt;K$149,0,10-(K$150-'Indicator Data'!K109)/(K$150-K$149)*10)))</f>
        <v>10</v>
      </c>
      <c r="L107" s="13" t="str">
        <f>IF('Indicator Data'!L109="No data","x",IF('Indicator Data'!L109&gt;L$150,10,IF('Indicator Data'!L109&lt;L$149,0,10-(L$150-'Indicator Data'!L109)/(L$150-L$149)*10)))</f>
        <v>x</v>
      </c>
      <c r="M107" s="13" t="str">
        <f>IF('Indicator Data'!M109="No data","x",IF('Indicator Data'!M109&gt;M$150,10,IF('Indicator Data'!M109&lt;M$149,0,10-(M$150-'Indicator Data'!M109)/(M$150-M$149)*10)))</f>
        <v>x</v>
      </c>
      <c r="N107" s="144"/>
      <c r="O107" s="49">
        <f t="shared" si="20"/>
        <v>10</v>
      </c>
      <c r="P107" s="42">
        <f t="shared" si="21"/>
        <v>9.2620396460979908</v>
      </c>
      <c r="Q107" s="33">
        <f>'Indicator Data'!AA109</f>
        <v>0</v>
      </c>
      <c r="R107" s="13">
        <f t="shared" si="22"/>
        <v>0</v>
      </c>
      <c r="S107" s="38">
        <f>Q107/'Indicator Data'!AN109</f>
        <v>0</v>
      </c>
      <c r="T107" s="13">
        <f t="shared" si="23"/>
        <v>0</v>
      </c>
      <c r="U107" s="14">
        <f t="shared" si="24"/>
        <v>0</v>
      </c>
      <c r="V107" s="33">
        <f>IF('Indicator Data'!Z109="",VLOOKUP($B107,'Indicator Data (national)'!$B$5:$AA$14,26,FALSE),'Indicator Data'!Z109)</f>
        <v>9495</v>
      </c>
      <c r="W107" s="13">
        <f t="shared" si="25"/>
        <v>3.2583165635767877</v>
      </c>
      <c r="X107" s="38">
        <f>IF('Indicator Data'!Z109="",V107/VLOOKUP($B107,'Indicator Data (national)'!$B$5:$AM$14,38,FALSE),V107/'Indicator Data'!AN109)</f>
        <v>8.3945574622709074E-2</v>
      </c>
      <c r="Y107" s="13">
        <f t="shared" si="26"/>
        <v>9.5127243006282729</v>
      </c>
      <c r="Z107" s="14">
        <f t="shared" si="27"/>
        <v>6.3855204321025303</v>
      </c>
      <c r="AA107" s="149">
        <f t="shared" si="28"/>
        <v>3.1927602160512651</v>
      </c>
      <c r="AB107" s="33">
        <f>VLOOKUP($B107,'Indicator Data (national)'!$B$5:$Z$14,25,FALSE)+VLOOKUP($B107,'Indicator Data (national)'!$B$5:$Z$14,24,FALSE)*0.5+VLOOKUP($B107,'Indicator Data (national)'!$B$5:$Z$14,23,FALSE)*0.25</f>
        <v>783050</v>
      </c>
      <c r="AC107" s="39">
        <f>AB107/VLOOKUP($B107,'Indicator Data (national)'!$B$5:$AM$14,38,FALSE)</f>
        <v>7.4607575396240494E-2</v>
      </c>
      <c r="AD107" s="49">
        <f t="shared" si="29"/>
        <v>7.4607575396240486</v>
      </c>
      <c r="AE107" s="13">
        <f>IF('Indicator Data'!V109="No data","x",IF(('Indicator Data'!V109)&gt;AE$150,10,IF(('Indicator Data'!V109)&lt;AE$149,0,10-(AE$150-('Indicator Data'!V109))/(AE$150-AE$149)*10)))</f>
        <v>1.6612921280485189</v>
      </c>
      <c r="AF107" s="49">
        <f t="shared" si="30"/>
        <v>1.6612921280485189</v>
      </c>
      <c r="AG107" s="34">
        <f t="shared" si="31"/>
        <v>5.2378513284411188</v>
      </c>
      <c r="AH107" s="52">
        <f t="shared" si="33"/>
        <v>5.8428455820796366</v>
      </c>
    </row>
    <row r="108" spans="1:34" s="11" customFormat="1" x14ac:dyDescent="0.25">
      <c r="A108" s="16" t="s">
        <v>496</v>
      </c>
      <c r="B108" s="11" t="s">
        <v>578</v>
      </c>
      <c r="C108" s="16" t="s">
        <v>497</v>
      </c>
      <c r="D108" s="13">
        <f>IF('Indicator Data'!I110="No data","x",IF('Indicator Data'!I110&gt;D$150,0,IF('Indicator Data'!I110&lt;D$149,10,(D$150-'Indicator Data'!I110)/(D$150-D$149)*10)))</f>
        <v>10</v>
      </c>
      <c r="E108" s="13">
        <f>IF('Indicator Data'!J110="No data","x",IF('Indicator Data'!J110&gt;E$150,10,IF('Indicator Data'!J110&lt;E$149,0,10-(E$150-'Indicator Data'!J110)/(E$150-E$149)*10)))</f>
        <v>6.6833333333333336</v>
      </c>
      <c r="F108" s="144">
        <f>IF(OR('Indicator Data'!AG110=0,'Indicator Data'!AG110="No data"),"x",IF('Indicator Data'!AG110&gt;F$150,0,IF('Indicator Data'!AG110&lt;F$149,10,(F$150-'Indicator Data'!AG110)/(F$150-F$149)*10)))</f>
        <v>6.48</v>
      </c>
      <c r="G108" s="144">
        <f>IF(OR('Indicator Data'!AE110=0,'Indicator Data'!AE110="No data"),"x",IF('Indicator Data'!AE110&gt;G$150,0,IF('Indicator Data'!AE110&lt;G$149,10,(G$150-'Indicator Data'!AE110)/(G$150-G$149)*10)))</f>
        <v>7.75</v>
      </c>
      <c r="H108" s="144">
        <f>IF(OR('Indicator Data'!AF110=0,'Indicator Data'!AF110="No data"),"x",IF('Indicator Data'!AF110&gt;H$150,0,IF('Indicator Data'!AF110&lt;H$149,10,(H$150-'Indicator Data'!AF110)/(H$150-H$149)*10)))</f>
        <v>5.26</v>
      </c>
      <c r="I108" s="144">
        <f t="shared" si="32"/>
        <v>6.496666666666667</v>
      </c>
      <c r="J108" s="49">
        <f t="shared" si="19"/>
        <v>8.8930594691469853</v>
      </c>
      <c r="K108" s="13">
        <f>IF('Indicator Data'!K110="No data","x",IF('Indicator Data'!K110&gt;K$150,10,IF('Indicator Data'!K110&lt;K$149,0,10-(K$150-'Indicator Data'!K110)/(K$150-K$149)*10)))</f>
        <v>10</v>
      </c>
      <c r="L108" s="13" t="str">
        <f>IF('Indicator Data'!L110="No data","x",IF('Indicator Data'!L110&gt;L$150,10,IF('Indicator Data'!L110&lt;L$149,0,10-(L$150-'Indicator Data'!L110)/(L$150-L$149)*10)))</f>
        <v>x</v>
      </c>
      <c r="M108" s="13" t="str">
        <f>IF('Indicator Data'!M110="No data","x",IF('Indicator Data'!M110&gt;M$150,10,IF('Indicator Data'!M110&lt;M$149,0,10-(M$150-'Indicator Data'!M110)/(M$150-M$149)*10)))</f>
        <v>x</v>
      </c>
      <c r="N108" s="144"/>
      <c r="O108" s="49">
        <f t="shared" si="20"/>
        <v>10</v>
      </c>
      <c r="P108" s="42">
        <f t="shared" si="21"/>
        <v>9.2620396460979908</v>
      </c>
      <c r="Q108" s="33">
        <f>'Indicator Data'!AA110</f>
        <v>0</v>
      </c>
      <c r="R108" s="13">
        <f t="shared" si="22"/>
        <v>0</v>
      </c>
      <c r="S108" s="38">
        <f>Q108/'Indicator Data'!AN110</f>
        <v>0</v>
      </c>
      <c r="T108" s="13">
        <f t="shared" si="23"/>
        <v>0</v>
      </c>
      <c r="U108" s="14">
        <f t="shared" si="24"/>
        <v>0</v>
      </c>
      <c r="V108" s="33">
        <f>IF('Indicator Data'!Z110="",VLOOKUP($B108,'Indicator Data (national)'!$B$5:$AA$14,26,FALSE),'Indicator Data'!Z110)</f>
        <v>910</v>
      </c>
      <c r="W108" s="13">
        <f t="shared" si="25"/>
        <v>0</v>
      </c>
      <c r="X108" s="38">
        <f>IF('Indicator Data'!Z110="",V108/VLOOKUP($B108,'Indicator Data (national)'!$B$5:$AM$14,38,FALSE),V108/'Indicator Data'!AN110)</f>
        <v>1.9213634501775677E-3</v>
      </c>
      <c r="Y108" s="13">
        <f t="shared" si="26"/>
        <v>3.7473158933525799</v>
      </c>
      <c r="Z108" s="14">
        <f t="shared" si="27"/>
        <v>1.8736579466762899</v>
      </c>
      <c r="AA108" s="149">
        <f t="shared" si="28"/>
        <v>0.93682897333814497</v>
      </c>
      <c r="AB108" s="33">
        <f>VLOOKUP($B108,'Indicator Data (national)'!$B$5:$Z$14,25,FALSE)+VLOOKUP($B108,'Indicator Data (national)'!$B$5:$Z$14,24,FALSE)*0.5+VLOOKUP($B108,'Indicator Data (national)'!$B$5:$Z$14,23,FALSE)*0.25</f>
        <v>783050</v>
      </c>
      <c r="AC108" s="39">
        <f>AB108/VLOOKUP($B108,'Indicator Data (national)'!$B$5:$AM$14,38,FALSE)</f>
        <v>7.4607575396240494E-2</v>
      </c>
      <c r="AD108" s="49">
        <f t="shared" si="29"/>
        <v>7.4607575396240486</v>
      </c>
      <c r="AE108" s="13">
        <f>IF('Indicator Data'!V110="No data","x",IF(('Indicator Data'!V110)&gt;AE$150,10,IF(('Indicator Data'!V110)&lt;AE$149,0,10-(AE$150-('Indicator Data'!V110))/(AE$150-AE$149)*10)))</f>
        <v>6.1337367356223638E-2</v>
      </c>
      <c r="AF108" s="49">
        <f t="shared" si="30"/>
        <v>6.1337367356223638E-2</v>
      </c>
      <c r="AG108" s="34">
        <f t="shared" si="31"/>
        <v>4.7600811907249998</v>
      </c>
      <c r="AH108" s="52">
        <f t="shared" si="33"/>
        <v>3.4516502008713501</v>
      </c>
    </row>
    <row r="109" spans="1:34" s="11" customFormat="1" x14ac:dyDescent="0.25">
      <c r="A109" s="16" t="s">
        <v>498</v>
      </c>
      <c r="B109" s="11" t="s">
        <v>578</v>
      </c>
      <c r="C109" s="16" t="s">
        <v>499</v>
      </c>
      <c r="D109" s="13">
        <f>IF('Indicator Data'!I111="No data","x",IF('Indicator Data'!I111&gt;D$150,0,IF('Indicator Data'!I111&lt;D$149,10,(D$150-'Indicator Data'!I111)/(D$150-D$149)*10)))</f>
        <v>10</v>
      </c>
      <c r="E109" s="13">
        <f>IF('Indicator Data'!J111="No data","x",IF('Indicator Data'!J111&gt;E$150,10,IF('Indicator Data'!J111&lt;E$149,0,10-(E$150-'Indicator Data'!J111)/(E$150-E$149)*10)))</f>
        <v>6.6833333333333336</v>
      </c>
      <c r="F109" s="144">
        <f>IF(OR('Indicator Data'!AG111=0,'Indicator Data'!AG111="No data"),"x",IF('Indicator Data'!AG111&gt;F$150,0,IF('Indicator Data'!AG111&lt;F$149,10,(F$150-'Indicator Data'!AG111)/(F$150-F$149)*10)))</f>
        <v>6.48</v>
      </c>
      <c r="G109" s="144">
        <f>IF(OR('Indicator Data'!AE111=0,'Indicator Data'!AE111="No data"),"x",IF('Indicator Data'!AE111&gt;G$150,0,IF('Indicator Data'!AE111&lt;G$149,10,(G$150-'Indicator Data'!AE111)/(G$150-G$149)*10)))</f>
        <v>7.75</v>
      </c>
      <c r="H109" s="144">
        <f>IF(OR('Indicator Data'!AF111=0,'Indicator Data'!AF111="No data"),"x",IF('Indicator Data'!AF111&gt;H$150,0,IF('Indicator Data'!AF111&lt;H$149,10,(H$150-'Indicator Data'!AF111)/(H$150-H$149)*10)))</f>
        <v>5.26</v>
      </c>
      <c r="I109" s="144">
        <f t="shared" si="32"/>
        <v>6.496666666666667</v>
      </c>
      <c r="J109" s="49">
        <f t="shared" si="19"/>
        <v>8.8930594691469853</v>
      </c>
      <c r="K109" s="13">
        <f>IF('Indicator Data'!K111="No data","x",IF('Indicator Data'!K111&gt;K$150,10,IF('Indicator Data'!K111&lt;K$149,0,10-(K$150-'Indicator Data'!K111)/(K$150-K$149)*10)))</f>
        <v>10</v>
      </c>
      <c r="L109" s="13" t="str">
        <f>IF('Indicator Data'!L111="No data","x",IF('Indicator Data'!L111&gt;L$150,10,IF('Indicator Data'!L111&lt;L$149,0,10-(L$150-'Indicator Data'!L111)/(L$150-L$149)*10)))</f>
        <v>x</v>
      </c>
      <c r="M109" s="13" t="str">
        <f>IF('Indicator Data'!M111="No data","x",IF('Indicator Data'!M111&gt;M$150,10,IF('Indicator Data'!M111&lt;M$149,0,10-(M$150-'Indicator Data'!M111)/(M$150-M$149)*10)))</f>
        <v>x</v>
      </c>
      <c r="N109" s="144"/>
      <c r="O109" s="49">
        <f t="shared" si="20"/>
        <v>10</v>
      </c>
      <c r="P109" s="42">
        <f t="shared" si="21"/>
        <v>9.2620396460979908</v>
      </c>
      <c r="Q109" s="33">
        <f>'Indicator Data'!AA111</f>
        <v>0</v>
      </c>
      <c r="R109" s="13">
        <f t="shared" si="22"/>
        <v>0</v>
      </c>
      <c r="S109" s="38">
        <f>Q109/'Indicator Data'!AN111</f>
        <v>0</v>
      </c>
      <c r="T109" s="13">
        <f t="shared" si="23"/>
        <v>0</v>
      </c>
      <c r="U109" s="14">
        <f t="shared" si="24"/>
        <v>0</v>
      </c>
      <c r="V109" s="33">
        <f>IF('Indicator Data'!Z111="",VLOOKUP($B109,'Indicator Data (national)'!$B$5:$AA$14,26,FALSE),'Indicator Data'!Z111)</f>
        <v>4820</v>
      </c>
      <c r="W109" s="13">
        <f t="shared" si="25"/>
        <v>2.2768234607961659</v>
      </c>
      <c r="X109" s="38">
        <f>IF('Indicator Data'!Z111="",V109/VLOOKUP($B109,'Indicator Data (national)'!$B$5:$AM$14,38,FALSE),V109/'Indicator Data'!AN111)</f>
        <v>2.4506563895018353E-2</v>
      </c>
      <c r="Y109" s="13">
        <f t="shared" si="26"/>
        <v>7.0213877266977756</v>
      </c>
      <c r="Z109" s="14">
        <f t="shared" si="27"/>
        <v>4.6491055937469703</v>
      </c>
      <c r="AA109" s="149">
        <f t="shared" si="28"/>
        <v>2.3245527968734851</v>
      </c>
      <c r="AB109" s="33">
        <f>VLOOKUP($B109,'Indicator Data (national)'!$B$5:$Z$14,25,FALSE)+VLOOKUP($B109,'Indicator Data (national)'!$B$5:$Z$14,24,FALSE)*0.5+VLOOKUP($B109,'Indicator Data (national)'!$B$5:$Z$14,23,FALSE)*0.25</f>
        <v>783050</v>
      </c>
      <c r="AC109" s="39">
        <f>AB109/VLOOKUP($B109,'Indicator Data (national)'!$B$5:$AM$14,38,FALSE)</f>
        <v>7.4607575396240494E-2</v>
      </c>
      <c r="AD109" s="49">
        <f t="shared" si="29"/>
        <v>7.4607575396240486</v>
      </c>
      <c r="AE109" s="13">
        <f>IF('Indicator Data'!V111="No data","x",IF(('Indicator Data'!V111)&gt;AE$150,10,IF(('Indicator Data'!V111)&lt;AE$149,0,10-(AE$150-('Indicator Data'!V111))/(AE$150-AE$149)*10)))</f>
        <v>1.9818671695041736</v>
      </c>
      <c r="AF109" s="49">
        <f t="shared" si="30"/>
        <v>1.9818671695041736</v>
      </c>
      <c r="AG109" s="34">
        <f t="shared" si="31"/>
        <v>5.3383329041104721</v>
      </c>
      <c r="AH109" s="52">
        <f t="shared" si="33"/>
        <v>5.0034335963631698</v>
      </c>
    </row>
    <row r="110" spans="1:34" s="11" customFormat="1" x14ac:dyDescent="0.25">
      <c r="A110" s="16" t="s">
        <v>500</v>
      </c>
      <c r="B110" s="11" t="s">
        <v>578</v>
      </c>
      <c r="C110" s="16" t="s">
        <v>501</v>
      </c>
      <c r="D110" s="13">
        <f>IF('Indicator Data'!I112="No data","x",IF('Indicator Data'!I112&gt;D$150,0,IF('Indicator Data'!I112&lt;D$149,10,(D$150-'Indicator Data'!I112)/(D$150-D$149)*10)))</f>
        <v>10</v>
      </c>
      <c r="E110" s="13">
        <f>IF('Indicator Data'!J112="No data","x",IF('Indicator Data'!J112&gt;E$150,10,IF('Indicator Data'!J112&lt;E$149,0,10-(E$150-'Indicator Data'!J112)/(E$150-E$149)*10)))</f>
        <v>6.4666666666666668</v>
      </c>
      <c r="F110" s="144">
        <f>IF(OR('Indicator Data'!AG112=0,'Indicator Data'!AG112="No data"),"x",IF('Indicator Data'!AG112&gt;F$150,0,IF('Indicator Data'!AG112&lt;F$149,10,(F$150-'Indicator Data'!AG112)/(F$150-F$149)*10)))</f>
        <v>5.84</v>
      </c>
      <c r="G110" s="144">
        <f>IF(OR('Indicator Data'!AE112=0,'Indicator Data'!AE112="No data"),"x",IF('Indicator Data'!AE112&gt;G$150,0,IF('Indicator Data'!AE112&lt;G$149,10,(G$150-'Indicator Data'!AE112)/(G$150-G$149)*10)))</f>
        <v>6.9200000000000008</v>
      </c>
      <c r="H110" s="144">
        <f>IF(OR('Indicator Data'!AF112=0,'Indicator Data'!AF112="No data"),"x",IF('Indicator Data'!AF112&gt;H$150,0,IF('Indicator Data'!AF112&lt;H$149,10,(H$150-'Indicator Data'!AF112)/(H$150-H$149)*10)))</f>
        <v>5.7700000000000005</v>
      </c>
      <c r="I110" s="144">
        <f t="shared" si="32"/>
        <v>6.1766666666666667</v>
      </c>
      <c r="J110" s="49">
        <f t="shared" si="19"/>
        <v>8.8394390777487928</v>
      </c>
      <c r="K110" s="13">
        <f>IF('Indicator Data'!K112="No data","x",IF('Indicator Data'!K112&gt;K$150,10,IF('Indicator Data'!K112&lt;K$149,0,10-(K$150-'Indicator Data'!K112)/(K$150-K$149)*10)))</f>
        <v>10</v>
      </c>
      <c r="L110" s="13" t="str">
        <f>IF('Indicator Data'!L112="No data","x",IF('Indicator Data'!L112&gt;L$150,10,IF('Indicator Data'!L112&lt;L$149,0,10-(L$150-'Indicator Data'!L112)/(L$150-L$149)*10)))</f>
        <v>x</v>
      </c>
      <c r="M110" s="13" t="str">
        <f>IF('Indicator Data'!M112="No data","x",IF('Indicator Data'!M112&gt;M$150,10,IF('Indicator Data'!M112&lt;M$149,0,10-(M$150-'Indicator Data'!M112)/(M$150-M$149)*10)))</f>
        <v>x</v>
      </c>
      <c r="N110" s="144"/>
      <c r="O110" s="49">
        <f t="shared" si="20"/>
        <v>10</v>
      </c>
      <c r="P110" s="42">
        <f t="shared" si="21"/>
        <v>9.2262927184991952</v>
      </c>
      <c r="Q110" s="33">
        <f>'Indicator Data'!AA112</f>
        <v>0</v>
      </c>
      <c r="R110" s="13">
        <f t="shared" si="22"/>
        <v>0</v>
      </c>
      <c r="S110" s="38">
        <f>Q110/'Indicator Data'!AN112</f>
        <v>0</v>
      </c>
      <c r="T110" s="13">
        <f t="shared" si="23"/>
        <v>0</v>
      </c>
      <c r="U110" s="14">
        <f t="shared" si="24"/>
        <v>0</v>
      </c>
      <c r="V110" s="33">
        <f>IF('Indicator Data'!Z112="",VLOOKUP($B110,'Indicator Data (national)'!$B$5:$AA$14,26,FALSE),'Indicator Data'!Z112)</f>
        <v>25760</v>
      </c>
      <c r="W110" s="13">
        <f t="shared" si="25"/>
        <v>4.7031528622925798</v>
      </c>
      <c r="X110" s="38">
        <f>IF('Indicator Data'!Z112="",V110/VLOOKUP($B110,'Indicator Data (national)'!$B$5:$AM$14,38,FALSE),V110/'Indicator Data'!AN112)</f>
        <v>4.3205165835045495E-2</v>
      </c>
      <c r="Y110" s="13">
        <f t="shared" si="26"/>
        <v>8.0753014633558244</v>
      </c>
      <c r="Z110" s="14">
        <f t="shared" si="27"/>
        <v>6.3892271628242021</v>
      </c>
      <c r="AA110" s="149">
        <f t="shared" si="28"/>
        <v>3.1946135814121011</v>
      </c>
      <c r="AB110" s="33">
        <f>VLOOKUP($B110,'Indicator Data (national)'!$B$5:$Z$14,25,FALSE)+VLOOKUP($B110,'Indicator Data (national)'!$B$5:$Z$14,24,FALSE)*0.5+VLOOKUP($B110,'Indicator Data (national)'!$B$5:$Z$14,23,FALSE)*0.25</f>
        <v>783050</v>
      </c>
      <c r="AC110" s="39">
        <f>AB110/VLOOKUP($B110,'Indicator Data (national)'!$B$5:$AM$14,38,FALSE)</f>
        <v>7.4607575396240494E-2</v>
      </c>
      <c r="AD110" s="49">
        <f t="shared" si="29"/>
        <v>7.4607575396240486</v>
      </c>
      <c r="AE110" s="13">
        <f>IF('Indicator Data'!V112="No data","x",IF(('Indicator Data'!V112)&gt;AE$150,10,IF(('Indicator Data'!V112)&lt;AE$149,0,10-(AE$150-('Indicator Data'!V112))/(AE$150-AE$149)*10)))</f>
        <v>1.4812576054382305</v>
      </c>
      <c r="AF110" s="49">
        <f t="shared" si="30"/>
        <v>1.4812576054382305</v>
      </c>
      <c r="AG110" s="34">
        <f t="shared" si="31"/>
        <v>5.1821676860706756</v>
      </c>
      <c r="AH110" s="52">
        <f t="shared" si="33"/>
        <v>5.8200069929709617</v>
      </c>
    </row>
    <row r="111" spans="1:34" s="11" customFormat="1" x14ac:dyDescent="0.25">
      <c r="A111" s="16" t="s">
        <v>502</v>
      </c>
      <c r="B111" s="11" t="s">
        <v>578</v>
      </c>
      <c r="C111" s="16" t="s">
        <v>503</v>
      </c>
      <c r="D111" s="13">
        <f>IF('Indicator Data'!I113="No data","x",IF('Indicator Data'!I113&gt;D$150,0,IF('Indicator Data'!I113&lt;D$149,10,(D$150-'Indicator Data'!I113)/(D$150-D$149)*10)))</f>
        <v>10</v>
      </c>
      <c r="E111" s="13">
        <f>IF('Indicator Data'!J113="No data","x",IF('Indicator Data'!J113&gt;E$150,10,IF('Indicator Data'!J113&lt;E$149,0,10-(E$150-'Indicator Data'!J113)/(E$150-E$149)*10)))</f>
        <v>6.4666666666666668</v>
      </c>
      <c r="F111" s="144">
        <f>IF(OR('Indicator Data'!AG113=0,'Indicator Data'!AG113="No data"),"x",IF('Indicator Data'!AG113&gt;F$150,0,IF('Indicator Data'!AG113&lt;F$149,10,(F$150-'Indicator Data'!AG113)/(F$150-F$149)*10)))</f>
        <v>5.84</v>
      </c>
      <c r="G111" s="144">
        <f>IF(OR('Indicator Data'!AE113=0,'Indicator Data'!AE113="No data"),"x",IF('Indicator Data'!AE113&gt;G$150,0,IF('Indicator Data'!AE113&lt;G$149,10,(G$150-'Indicator Data'!AE113)/(G$150-G$149)*10)))</f>
        <v>6.9200000000000008</v>
      </c>
      <c r="H111" s="144">
        <f>IF(OR('Indicator Data'!AF113=0,'Indicator Data'!AF113="No data"),"x",IF('Indicator Data'!AF113&gt;H$150,0,IF('Indicator Data'!AF113&lt;H$149,10,(H$150-'Indicator Data'!AF113)/(H$150-H$149)*10)))</f>
        <v>5.7700000000000005</v>
      </c>
      <c r="I111" s="144">
        <f t="shared" si="32"/>
        <v>6.1766666666666667</v>
      </c>
      <c r="J111" s="49">
        <f t="shared" si="19"/>
        <v>8.8394390777487928</v>
      </c>
      <c r="K111" s="13">
        <f>IF('Indicator Data'!K113="No data","x",IF('Indicator Data'!K113&gt;K$150,10,IF('Indicator Data'!K113&lt;K$149,0,10-(K$150-'Indicator Data'!K113)/(K$150-K$149)*10)))</f>
        <v>10</v>
      </c>
      <c r="L111" s="13" t="str">
        <f>IF('Indicator Data'!L113="No data","x",IF('Indicator Data'!L113&gt;L$150,10,IF('Indicator Data'!L113&lt;L$149,0,10-(L$150-'Indicator Data'!L113)/(L$150-L$149)*10)))</f>
        <v>x</v>
      </c>
      <c r="M111" s="13" t="str">
        <f>IF('Indicator Data'!M113="No data","x",IF('Indicator Data'!M113&gt;M$150,10,IF('Indicator Data'!M113&lt;M$149,0,10-(M$150-'Indicator Data'!M113)/(M$150-M$149)*10)))</f>
        <v>x</v>
      </c>
      <c r="N111" s="144"/>
      <c r="O111" s="49">
        <f t="shared" si="20"/>
        <v>10</v>
      </c>
      <c r="P111" s="42">
        <f t="shared" si="21"/>
        <v>9.2262927184991952</v>
      </c>
      <c r="Q111" s="33">
        <f>'Indicator Data'!AA113</f>
        <v>0</v>
      </c>
      <c r="R111" s="13">
        <f t="shared" si="22"/>
        <v>0</v>
      </c>
      <c r="S111" s="38">
        <f>Q111/'Indicator Data'!AN113</f>
        <v>0</v>
      </c>
      <c r="T111" s="13">
        <f t="shared" si="23"/>
        <v>0</v>
      </c>
      <c r="U111" s="14">
        <f t="shared" si="24"/>
        <v>0</v>
      </c>
      <c r="V111" s="33">
        <f>IF('Indicator Data'!Z113="",VLOOKUP($B111,'Indicator Data (national)'!$B$5:$AA$14,26,FALSE),'Indicator Data'!Z113)</f>
        <v>44590</v>
      </c>
      <c r="W111" s="13">
        <f t="shared" si="25"/>
        <v>5.4974582411653561</v>
      </c>
      <c r="X111" s="38">
        <f>IF('Indicator Data'!Z113="",V111/VLOOKUP($B111,'Indicator Data (national)'!$B$5:$AM$14,38,FALSE),V111/'Indicator Data'!AN113)</f>
        <v>5.1328568452096594E-2</v>
      </c>
      <c r="Y111" s="13">
        <f t="shared" si="26"/>
        <v>8.4258392926640653</v>
      </c>
      <c r="Z111" s="14">
        <f t="shared" si="27"/>
        <v>6.9616487669147107</v>
      </c>
      <c r="AA111" s="149">
        <f t="shared" si="28"/>
        <v>3.4808243834573553</v>
      </c>
      <c r="AB111" s="33">
        <f>VLOOKUP($B111,'Indicator Data (national)'!$B$5:$Z$14,25,FALSE)+VLOOKUP($B111,'Indicator Data (national)'!$B$5:$Z$14,24,FALSE)*0.5+VLOOKUP($B111,'Indicator Data (national)'!$B$5:$Z$14,23,FALSE)*0.25</f>
        <v>783050</v>
      </c>
      <c r="AC111" s="39">
        <f>AB111/VLOOKUP($B111,'Indicator Data (national)'!$B$5:$AM$14,38,FALSE)</f>
        <v>7.4607575396240494E-2</v>
      </c>
      <c r="AD111" s="49">
        <f t="shared" si="29"/>
        <v>7.4607575396240486</v>
      </c>
      <c r="AE111" s="13">
        <f>IF('Indicator Data'!V113="No data","x",IF(('Indicator Data'!V113)&gt;AE$150,10,IF(('Indicator Data'!V113)&lt;AE$149,0,10-(AE$150-('Indicator Data'!V113))/(AE$150-AE$149)*10)))</f>
        <v>1.9578996040216428</v>
      </c>
      <c r="AF111" s="49">
        <f t="shared" si="30"/>
        <v>1.9578996040216428</v>
      </c>
      <c r="AG111" s="34">
        <f t="shared" si="31"/>
        <v>5.3307600564189723</v>
      </c>
      <c r="AH111" s="52">
        <f t="shared" si="33"/>
        <v>6.2136271613996907</v>
      </c>
    </row>
    <row r="112" spans="1:34" s="11" customFormat="1" x14ac:dyDescent="0.25">
      <c r="A112" s="16" t="s">
        <v>505</v>
      </c>
      <c r="B112" s="11" t="s">
        <v>580</v>
      </c>
      <c r="C112" s="16" t="s">
        <v>506</v>
      </c>
      <c r="D112" s="13">
        <f>IF('Indicator Data'!I114="No data","x",IF('Indicator Data'!I114&gt;D$150,0,IF('Indicator Data'!I114&lt;D$149,10,(D$150-'Indicator Data'!I114)/(D$150-D$149)*10)))</f>
        <v>8.8461538461538467</v>
      </c>
      <c r="E112" s="13" t="str">
        <f>IF('Indicator Data'!J114="No data","x",IF('Indicator Data'!J114&gt;E$150,10,IF('Indicator Data'!J114&lt;E$149,0,10-(E$150-'Indicator Data'!J114)/(E$150-E$149)*10)))</f>
        <v>x</v>
      </c>
      <c r="F112" s="144">
        <f>IF(OR('Indicator Data'!AG114=0,'Indicator Data'!AG114="No data"),"x",IF('Indicator Data'!AG114&gt;F$150,0,IF('Indicator Data'!AG114&lt;F$149,10,(F$150-'Indicator Data'!AG114)/(F$150-F$149)*10)))</f>
        <v>3.8200000000000003</v>
      </c>
      <c r="G112" s="144">
        <f>IF(OR('Indicator Data'!AE114=0,'Indicator Data'!AE114="No data"),"x",IF('Indicator Data'!AE114&gt;G$150,0,IF('Indicator Data'!AE114&lt;G$149,10,(G$150-'Indicator Data'!AE114)/(G$150-G$149)*10)))</f>
        <v>9.6999999999999993</v>
      </c>
      <c r="H112" s="144">
        <f>IF(OR('Indicator Data'!AF114=0,'Indicator Data'!AF114="No data"),"x",IF('Indicator Data'!AF114&gt;H$150,0,IF('Indicator Data'!AF114&lt;H$149,10,(H$150-'Indicator Data'!AF114)/(H$150-H$149)*10)))</f>
        <v>9.2200000000000006</v>
      </c>
      <c r="I112" s="144">
        <f t="shared" si="32"/>
        <v>7.580000000000001</v>
      </c>
      <c r="J112" s="49">
        <f t="shared" si="19"/>
        <v>8.2830701346607292</v>
      </c>
      <c r="K112" s="13" t="str">
        <f>IF('Indicator Data'!K114="No data","x",IF('Indicator Data'!K114&gt;K$150,10,IF('Indicator Data'!K114&lt;K$149,0,10-(K$150-'Indicator Data'!K114)/(K$150-K$149)*10)))</f>
        <v>x</v>
      </c>
      <c r="L112" s="13">
        <f>IF('Indicator Data'!L114="No data","x",IF('Indicator Data'!L114&gt;L$150,10,IF('Indicator Data'!L114&lt;L$149,0,10-(L$150-'Indicator Data'!L114)/(L$150-L$149)*10)))</f>
        <v>5.1324999999999994</v>
      </c>
      <c r="M112" s="13" t="str">
        <f>IF('Indicator Data'!M114="No data","x",IF('Indicator Data'!M114&gt;M$150,10,IF('Indicator Data'!M114&lt;M$149,0,10-(M$150-'Indicator Data'!M114)/(M$150-M$149)*10)))</f>
        <v>x</v>
      </c>
      <c r="N112" s="144"/>
      <c r="O112" s="49">
        <f t="shared" si="20"/>
        <v>5.1324999999999994</v>
      </c>
      <c r="P112" s="42">
        <f t="shared" si="21"/>
        <v>7.2328800897738192</v>
      </c>
      <c r="Q112" s="33">
        <f>'Indicator Data'!AA114</f>
        <v>121003</v>
      </c>
      <c r="R112" s="13">
        <f t="shared" si="22"/>
        <v>6.9426537927158387</v>
      </c>
      <c r="S112" s="38">
        <f>Q112/'Indicator Data'!AN114</f>
        <v>0.10748809221361352</v>
      </c>
      <c r="T112" s="13">
        <f t="shared" si="23"/>
        <v>10</v>
      </c>
      <c r="U112" s="14">
        <f t="shared" si="24"/>
        <v>8.4713268963579189</v>
      </c>
      <c r="V112" s="33">
        <f>IF('Indicator Data'!Z114="",VLOOKUP($B112,'Indicator Data (national)'!$B$5:$AA$14,26,FALSE),'Indicator Data'!Z114)</f>
        <v>264071</v>
      </c>
      <c r="W112" s="13">
        <f t="shared" si="25"/>
        <v>8.0724023668716285</v>
      </c>
      <c r="X112" s="38">
        <f>IF('Indicator Data'!Z114="",V112/VLOOKUP($B112,'Indicator Data (national)'!$B$5:$AM$14,38,FALSE),V112/'Indicator Data'!AN114)</f>
        <v>0.23457672949382358</v>
      </c>
      <c r="Y112" s="13">
        <f t="shared" si="26"/>
        <v>10</v>
      </c>
      <c r="Z112" s="14">
        <f t="shared" si="27"/>
        <v>9.0362011834358142</v>
      </c>
      <c r="AA112" s="149">
        <f t="shared" si="28"/>
        <v>8.7537640398968666</v>
      </c>
      <c r="AB112" s="33">
        <f>VLOOKUP($B112,'Indicator Data (national)'!$B$5:$Z$14,25,FALSE)+VLOOKUP($B112,'Indicator Data (national)'!$B$5:$Z$14,24,FALSE)*0.5+VLOOKUP($B112,'Indicator Data (national)'!$B$5:$Z$14,23,FALSE)*0.25</f>
        <v>39250</v>
      </c>
      <c r="AC112" s="39">
        <f>AB112/VLOOKUP($B112,'Indicator Data (national)'!$B$5:$AM$14,38,FALSE)</f>
        <v>3.4746280886455969E-3</v>
      </c>
      <c r="AD112" s="49">
        <f t="shared" si="29"/>
        <v>0.34746280886455949</v>
      </c>
      <c r="AE112" s="13">
        <f>IF('Indicator Data'!V114="No data","x",IF(('Indicator Data'!V114)&gt;AE$150,10,IF(('Indicator Data'!V114)&lt;AE$149,0,10-(AE$150-('Indicator Data'!V114))/(AE$150-AE$149)*10)))</f>
        <v>10</v>
      </c>
      <c r="AF112" s="49">
        <f t="shared" si="30"/>
        <v>10</v>
      </c>
      <c r="AG112" s="34">
        <f t="shared" si="31"/>
        <v>7.6528443162095972</v>
      </c>
      <c r="AH112" s="52">
        <f t="shared" si="33"/>
        <v>8.4323815418393302</v>
      </c>
    </row>
    <row r="113" spans="1:34" s="11" customFormat="1" x14ac:dyDescent="0.25">
      <c r="A113" s="16" t="s">
        <v>507</v>
      </c>
      <c r="B113" s="11" t="s">
        <v>580</v>
      </c>
      <c r="C113" s="16" t="s">
        <v>508</v>
      </c>
      <c r="D113" s="13">
        <f>IF('Indicator Data'!I115="No data","x",IF('Indicator Data'!I115&gt;D$150,0,IF('Indicator Data'!I115&lt;D$149,10,(D$150-'Indicator Data'!I115)/(D$150-D$149)*10)))</f>
        <v>8.8461538461538467</v>
      </c>
      <c r="E113" s="13" t="str">
        <f>IF('Indicator Data'!J115="No data","x",IF('Indicator Data'!J115&gt;E$150,10,IF('Indicator Data'!J115&lt;E$149,0,10-(E$150-'Indicator Data'!J115)/(E$150-E$149)*10)))</f>
        <v>x</v>
      </c>
      <c r="F113" s="144">
        <f>IF(OR('Indicator Data'!AG115=0,'Indicator Data'!AG115="No data"),"x",IF('Indicator Data'!AG115&gt;F$150,0,IF('Indicator Data'!AG115&lt;F$149,10,(F$150-'Indicator Data'!AG115)/(F$150-F$149)*10)))</f>
        <v>2.2200000000000002</v>
      </c>
      <c r="G113" s="144">
        <f>IF(OR('Indicator Data'!AE115=0,'Indicator Data'!AE115="No data"),"x",IF('Indicator Data'!AE115&gt;G$150,0,IF('Indicator Data'!AE115&lt;G$149,10,(G$150-'Indicator Data'!AE115)/(G$150-G$149)*10)))</f>
        <v>9.6999999999999993</v>
      </c>
      <c r="H113" s="144">
        <f>IF(OR('Indicator Data'!AF115=0,'Indicator Data'!AF115="No data"),"x",IF('Indicator Data'!AF115&gt;H$150,0,IF('Indicator Data'!AF115&lt;H$149,10,(H$150-'Indicator Data'!AF115)/(H$150-H$149)*10)))</f>
        <v>9.379999999999999</v>
      </c>
      <c r="I113" s="144">
        <f t="shared" si="32"/>
        <v>7.0999999999999988</v>
      </c>
      <c r="J113" s="49">
        <f t="shared" si="19"/>
        <v>8.0969785241697334</v>
      </c>
      <c r="K113" s="13" t="str">
        <f>IF('Indicator Data'!K115="No data","x",IF('Indicator Data'!K115&gt;K$150,10,IF('Indicator Data'!K115&lt;K$149,0,10-(K$150-'Indicator Data'!K115)/(K$150-K$149)*10)))</f>
        <v>x</v>
      </c>
      <c r="L113" s="13">
        <f>IF('Indicator Data'!L115="No data","x",IF('Indicator Data'!L115&gt;L$150,10,IF('Indicator Data'!L115&lt;L$149,0,10-(L$150-'Indicator Data'!L115)/(L$150-L$149)*10)))</f>
        <v>5.1324999999999994</v>
      </c>
      <c r="M113" s="13" t="str">
        <f>IF('Indicator Data'!M115="No data","x",IF('Indicator Data'!M115&gt;M$150,10,IF('Indicator Data'!M115&lt;M$149,0,10-(M$150-'Indicator Data'!M115)/(M$150-M$149)*10)))</f>
        <v>x</v>
      </c>
      <c r="N113" s="144"/>
      <c r="O113" s="49">
        <f t="shared" si="20"/>
        <v>5.1324999999999994</v>
      </c>
      <c r="P113" s="42">
        <f t="shared" si="21"/>
        <v>7.1088190161131557</v>
      </c>
      <c r="Q113" s="33">
        <f>'Indicator Data'!AA115</f>
        <v>0</v>
      </c>
      <c r="R113" s="13">
        <f t="shared" si="22"/>
        <v>0</v>
      </c>
      <c r="S113" s="38">
        <f>Q113/'Indicator Data'!AN115</f>
        <v>0</v>
      </c>
      <c r="T113" s="13">
        <f t="shared" si="23"/>
        <v>0</v>
      </c>
      <c r="U113" s="14">
        <f t="shared" si="24"/>
        <v>0</v>
      </c>
      <c r="V113" s="33">
        <f>IF('Indicator Data'!Z115="",VLOOKUP($B113,'Indicator Data (national)'!$B$5:$AA$14,26,FALSE),'Indicator Data'!Z115)</f>
        <v>604497</v>
      </c>
      <c r="W113" s="13">
        <f t="shared" si="25"/>
        <v>9.2713138329461344</v>
      </c>
      <c r="X113" s="38">
        <f>IF('Indicator Data'!Z115="",V113/VLOOKUP($B113,'Indicator Data (national)'!$B$5:$AM$14,38,FALSE),V113/'Indicator Data'!AN115)</f>
        <v>0.32550379298609883</v>
      </c>
      <c r="Y113" s="13">
        <f t="shared" si="26"/>
        <v>10</v>
      </c>
      <c r="Z113" s="14">
        <f t="shared" si="27"/>
        <v>9.6356569164730672</v>
      </c>
      <c r="AA113" s="149">
        <f t="shared" si="28"/>
        <v>4.8178284582365336</v>
      </c>
      <c r="AB113" s="33">
        <f>VLOOKUP($B113,'Indicator Data (national)'!$B$5:$Z$14,25,FALSE)+VLOOKUP($B113,'Indicator Data (national)'!$B$5:$Z$14,24,FALSE)*0.5+VLOOKUP($B113,'Indicator Data (national)'!$B$5:$Z$14,23,FALSE)*0.25</f>
        <v>39250</v>
      </c>
      <c r="AC113" s="39">
        <f>AB113/VLOOKUP($B113,'Indicator Data (national)'!$B$5:$AM$14,38,FALSE)</f>
        <v>3.4746280886455969E-3</v>
      </c>
      <c r="AD113" s="49">
        <f t="shared" si="29"/>
        <v>0.34746280886455949</v>
      </c>
      <c r="AE113" s="13">
        <f>IF('Indicator Data'!V115="No data","x",IF(('Indicator Data'!V115)&gt;AE$150,10,IF(('Indicator Data'!V115)&lt;AE$149,0,10-(AE$150-('Indicator Data'!V115))/(AE$150-AE$149)*10)))</f>
        <v>10</v>
      </c>
      <c r="AF113" s="49">
        <f t="shared" si="30"/>
        <v>10</v>
      </c>
      <c r="AG113" s="34">
        <f t="shared" si="31"/>
        <v>7.6528443162095972</v>
      </c>
      <c r="AH113" s="52">
        <f t="shared" si="33"/>
        <v>8.8522365575524358</v>
      </c>
    </row>
    <row r="114" spans="1:34" s="11" customFormat="1" x14ac:dyDescent="0.25">
      <c r="A114" s="16" t="s">
        <v>509</v>
      </c>
      <c r="B114" s="11" t="s">
        <v>580</v>
      </c>
      <c r="C114" s="16" t="s">
        <v>510</v>
      </c>
      <c r="D114" s="13">
        <f>IF('Indicator Data'!I116="No data","x",IF('Indicator Data'!I116&gt;D$150,0,IF('Indicator Data'!I116&lt;D$149,10,(D$150-'Indicator Data'!I116)/(D$150-D$149)*10)))</f>
        <v>8.8461538461538467</v>
      </c>
      <c r="E114" s="13" t="str">
        <f>IF('Indicator Data'!J116="No data","x",IF('Indicator Data'!J116&gt;E$150,10,IF('Indicator Data'!J116&lt;E$149,0,10-(E$150-'Indicator Data'!J116)/(E$150-E$149)*10)))</f>
        <v>x</v>
      </c>
      <c r="F114" s="144">
        <f>IF(OR('Indicator Data'!AG116=0,'Indicator Data'!AG116="No data"),"x",IF('Indicator Data'!AG116&gt;F$150,0,IF('Indicator Data'!AG116&lt;F$149,10,(F$150-'Indicator Data'!AG116)/(F$150-F$149)*10)))</f>
        <v>3.73</v>
      </c>
      <c r="G114" s="144">
        <f>IF(OR('Indicator Data'!AE116=0,'Indicator Data'!AE116="No data"),"x",IF('Indicator Data'!AE116&gt;G$150,0,IF('Indicator Data'!AE116&lt;G$149,10,(G$150-'Indicator Data'!AE116)/(G$150-G$149)*10)))</f>
        <v>9.6999999999999993</v>
      </c>
      <c r="H114" s="144">
        <f>IF(OR('Indicator Data'!AF116=0,'Indicator Data'!AF116="No data"),"x",IF('Indicator Data'!AF116&gt;H$150,0,IF('Indicator Data'!AF116&lt;H$149,10,(H$150-'Indicator Data'!AF116)/(H$150-H$149)*10)))</f>
        <v>9.02</v>
      </c>
      <c r="I114" s="144">
        <f t="shared" si="32"/>
        <v>7.4833333333333334</v>
      </c>
      <c r="J114" s="49">
        <f t="shared" si="19"/>
        <v>8.2446216844031923</v>
      </c>
      <c r="K114" s="13" t="str">
        <f>IF('Indicator Data'!K116="No data","x",IF('Indicator Data'!K116&gt;K$150,10,IF('Indicator Data'!K116&lt;K$149,0,10-(K$150-'Indicator Data'!K116)/(K$150-K$149)*10)))</f>
        <v>x</v>
      </c>
      <c r="L114" s="13">
        <f>IF('Indicator Data'!L116="No data","x",IF('Indicator Data'!L116&gt;L$150,10,IF('Indicator Data'!L116&lt;L$149,0,10-(L$150-'Indicator Data'!L116)/(L$150-L$149)*10)))</f>
        <v>5.1324999999999994</v>
      </c>
      <c r="M114" s="13" t="str">
        <f>IF('Indicator Data'!M116="No data","x",IF('Indicator Data'!M116&gt;M$150,10,IF('Indicator Data'!M116&lt;M$149,0,10-(M$150-'Indicator Data'!M116)/(M$150-M$149)*10)))</f>
        <v>x</v>
      </c>
      <c r="N114" s="144"/>
      <c r="O114" s="49">
        <f t="shared" si="20"/>
        <v>5.1324999999999994</v>
      </c>
      <c r="P114" s="42">
        <f t="shared" si="21"/>
        <v>7.2072477896021283</v>
      </c>
      <c r="Q114" s="33">
        <f>'Indicator Data'!AA116</f>
        <v>70151</v>
      </c>
      <c r="R114" s="13">
        <f t="shared" si="22"/>
        <v>6.1534462208694523</v>
      </c>
      <c r="S114" s="38">
        <f>Q114/'Indicator Data'!AN116</f>
        <v>8.6344687015741217E-2</v>
      </c>
      <c r="T114" s="13">
        <f t="shared" si="23"/>
        <v>9.5790676138347202</v>
      </c>
      <c r="U114" s="14">
        <f t="shared" si="24"/>
        <v>7.8662569173520858</v>
      </c>
      <c r="V114" s="33">
        <f>IF('Indicator Data'!Z116="",VLOOKUP($B114,'Indicator Data (national)'!$B$5:$AA$14,26,FALSE),'Indicator Data'!Z116)</f>
        <v>366448</v>
      </c>
      <c r="W114" s="13">
        <f t="shared" si="25"/>
        <v>8.5467078524767928</v>
      </c>
      <c r="X114" s="38">
        <f>IF('Indicator Data'!Z116="",V114/VLOOKUP($B114,'Indicator Data (national)'!$B$5:$AM$14,38,FALSE),V114/'Indicator Data'!AN116)</f>
        <v>0.45103901394911461</v>
      </c>
      <c r="Y114" s="13">
        <f t="shared" si="26"/>
        <v>10</v>
      </c>
      <c r="Z114" s="14">
        <f t="shared" si="27"/>
        <v>9.2733539262383964</v>
      </c>
      <c r="AA114" s="149">
        <f t="shared" si="28"/>
        <v>8.5698054217952411</v>
      </c>
      <c r="AB114" s="33">
        <f>VLOOKUP($B114,'Indicator Data (national)'!$B$5:$Z$14,25,FALSE)+VLOOKUP($B114,'Indicator Data (national)'!$B$5:$Z$14,24,FALSE)*0.5+VLOOKUP($B114,'Indicator Data (national)'!$B$5:$Z$14,23,FALSE)*0.25</f>
        <v>39250</v>
      </c>
      <c r="AC114" s="39">
        <f>AB114/VLOOKUP($B114,'Indicator Data (national)'!$B$5:$AM$14,38,FALSE)</f>
        <v>3.4746280886455969E-3</v>
      </c>
      <c r="AD114" s="49">
        <f t="shared" si="29"/>
        <v>0.34746280886455949</v>
      </c>
      <c r="AE114" s="13">
        <f>IF('Indicator Data'!V116="No data","x",IF(('Indicator Data'!V116)&gt;AE$150,10,IF(('Indicator Data'!V116)&lt;AE$149,0,10-(AE$150-('Indicator Data'!V116))/(AE$150-AE$149)*10)))</f>
        <v>10</v>
      </c>
      <c r="AF114" s="49">
        <f t="shared" si="30"/>
        <v>10</v>
      </c>
      <c r="AG114" s="34">
        <f t="shared" si="31"/>
        <v>7.6528443162095972</v>
      </c>
      <c r="AH114" s="52">
        <f t="shared" si="33"/>
        <v>8.5901084039453721</v>
      </c>
    </row>
    <row r="115" spans="1:34" s="11" customFormat="1" x14ac:dyDescent="0.25">
      <c r="A115" s="16" t="s">
        <v>511</v>
      </c>
      <c r="B115" s="11" t="s">
        <v>580</v>
      </c>
      <c r="C115" s="16" t="s">
        <v>512</v>
      </c>
      <c r="D115" s="13">
        <f>IF('Indicator Data'!I117="No data","x",IF('Indicator Data'!I117&gt;D$150,0,IF('Indicator Data'!I117&lt;D$149,10,(D$150-'Indicator Data'!I117)/(D$150-D$149)*10)))</f>
        <v>8.8461538461538467</v>
      </c>
      <c r="E115" s="13" t="str">
        <f>IF('Indicator Data'!J117="No data","x",IF('Indicator Data'!J117&gt;E$150,10,IF('Indicator Data'!J117&lt;E$149,0,10-(E$150-'Indicator Data'!J117)/(E$150-E$149)*10)))</f>
        <v>x</v>
      </c>
      <c r="F115" s="144">
        <f>IF(OR('Indicator Data'!AG117=0,'Indicator Data'!AG117="No data"),"x",IF('Indicator Data'!AG117&gt;F$150,0,IF('Indicator Data'!AG117&lt;F$149,10,(F$150-'Indicator Data'!AG117)/(F$150-F$149)*10)))</f>
        <v>3.9299999999999997</v>
      </c>
      <c r="G115" s="144">
        <f>IF(OR('Indicator Data'!AE117=0,'Indicator Data'!AE117="No data"),"x",IF('Indicator Data'!AE117&gt;G$150,0,IF('Indicator Data'!AE117&lt;G$149,10,(G$150-'Indicator Data'!AE117)/(G$150-G$149)*10)))</f>
        <v>9.6999999999999993</v>
      </c>
      <c r="H115" s="144">
        <f>IF(OR('Indicator Data'!AF117=0,'Indicator Data'!AF117="No data"),"x",IF('Indicator Data'!AF117&gt;H$150,0,IF('Indicator Data'!AF117&lt;H$149,10,(H$150-'Indicator Data'!AF117)/(H$150-H$149)*10)))</f>
        <v>9.9</v>
      </c>
      <c r="I115" s="144">
        <f t="shared" si="32"/>
        <v>7.8433333333333337</v>
      </c>
      <c r="J115" s="49">
        <f t="shared" si="19"/>
        <v>8.3905639201872546</v>
      </c>
      <c r="K115" s="13" t="str">
        <f>IF('Indicator Data'!K117="No data","x",IF('Indicator Data'!K117&gt;K$150,10,IF('Indicator Data'!K117&lt;K$149,0,10-(K$150-'Indicator Data'!K117)/(K$150-K$149)*10)))</f>
        <v>x</v>
      </c>
      <c r="L115" s="13">
        <f>IF('Indicator Data'!L117="No data","x",IF('Indicator Data'!L117&gt;L$150,10,IF('Indicator Data'!L117&lt;L$149,0,10-(L$150-'Indicator Data'!L117)/(L$150-L$149)*10)))</f>
        <v>5.1324999999999994</v>
      </c>
      <c r="M115" s="13" t="str">
        <f>IF('Indicator Data'!M117="No data","x",IF('Indicator Data'!M117&gt;M$150,10,IF('Indicator Data'!M117&lt;M$149,0,10-(M$150-'Indicator Data'!M117)/(M$150-M$149)*10)))</f>
        <v>x</v>
      </c>
      <c r="N115" s="144"/>
      <c r="O115" s="49">
        <f t="shared" si="20"/>
        <v>5.1324999999999994</v>
      </c>
      <c r="P115" s="42">
        <f t="shared" si="21"/>
        <v>7.3045426134581701</v>
      </c>
      <c r="Q115" s="33">
        <f>'Indicator Data'!AA117</f>
        <v>0</v>
      </c>
      <c r="R115" s="13">
        <f t="shared" si="22"/>
        <v>0</v>
      </c>
      <c r="S115" s="38">
        <f>Q115/'Indicator Data'!AN117</f>
        <v>0</v>
      </c>
      <c r="T115" s="13">
        <f t="shared" si="23"/>
        <v>0</v>
      </c>
      <c r="U115" s="14">
        <f t="shared" si="24"/>
        <v>0</v>
      </c>
      <c r="V115" s="33">
        <f>IF('Indicator Data'!Z117="",VLOOKUP($B115,'Indicator Data (national)'!$B$5:$AA$14,26,FALSE),'Indicator Data'!Z117)</f>
        <v>11623</v>
      </c>
      <c r="W115" s="13">
        <f t="shared" si="25"/>
        <v>3.5510607926791238</v>
      </c>
      <c r="X115" s="38">
        <f>IF('Indicator Data'!Z117="",V115/VLOOKUP($B115,'Indicator Data (national)'!$B$5:$AM$14,38,FALSE),V115/'Indicator Data'!AN117)</f>
        <v>9.6819282889234679E-3</v>
      </c>
      <c r="Y115" s="13">
        <f t="shared" si="26"/>
        <v>5.5840353596485217</v>
      </c>
      <c r="Z115" s="14">
        <f t="shared" si="27"/>
        <v>4.5675480761638223</v>
      </c>
      <c r="AA115" s="149">
        <f t="shared" si="28"/>
        <v>2.2837740380819112</v>
      </c>
      <c r="AB115" s="33">
        <f>VLOOKUP($B115,'Indicator Data (national)'!$B$5:$Z$14,25,FALSE)+VLOOKUP($B115,'Indicator Data (national)'!$B$5:$Z$14,24,FALSE)*0.5+VLOOKUP($B115,'Indicator Data (national)'!$B$5:$Z$14,23,FALSE)*0.25</f>
        <v>39250</v>
      </c>
      <c r="AC115" s="39">
        <f>AB115/VLOOKUP($B115,'Indicator Data (national)'!$B$5:$AM$14,38,FALSE)</f>
        <v>3.4746280886455969E-3</v>
      </c>
      <c r="AD115" s="49">
        <f t="shared" si="29"/>
        <v>0.34746280886455949</v>
      </c>
      <c r="AE115" s="13">
        <f>IF('Indicator Data'!V117="No data","x",IF(('Indicator Data'!V117)&gt;AE$150,10,IF(('Indicator Data'!V117)&lt;AE$149,0,10-(AE$150-('Indicator Data'!V117))/(AE$150-AE$149)*10)))</f>
        <v>5.4736842105263159</v>
      </c>
      <c r="AF115" s="49">
        <f t="shared" si="30"/>
        <v>5.4736842105263159</v>
      </c>
      <c r="AG115" s="34">
        <f t="shared" si="31"/>
        <v>3.3214204569504102</v>
      </c>
      <c r="AH115" s="52">
        <f t="shared" si="33"/>
        <v>3.9716201055673457</v>
      </c>
    </row>
    <row r="116" spans="1:34" s="11" customFormat="1" x14ac:dyDescent="0.25">
      <c r="A116" s="16" t="s">
        <v>513</v>
      </c>
      <c r="B116" s="11" t="s">
        <v>580</v>
      </c>
      <c r="C116" s="16" t="s">
        <v>514</v>
      </c>
      <c r="D116" s="13">
        <f>IF('Indicator Data'!I118="No data","x",IF('Indicator Data'!I118&gt;D$150,0,IF('Indicator Data'!I118&lt;D$149,10,(D$150-'Indicator Data'!I118)/(D$150-D$149)*10)))</f>
        <v>8.8461538461538467</v>
      </c>
      <c r="E116" s="13" t="str">
        <f>IF('Indicator Data'!J118="No data","x",IF('Indicator Data'!J118&gt;E$150,10,IF('Indicator Data'!J118&lt;E$149,0,10-(E$150-'Indicator Data'!J118)/(E$150-E$149)*10)))</f>
        <v>x</v>
      </c>
      <c r="F116" s="144">
        <f>IF(OR('Indicator Data'!AG118=0,'Indicator Data'!AG118="No data"),"x",IF('Indicator Data'!AG118&gt;F$150,0,IF('Indicator Data'!AG118&lt;F$149,10,(F$150-'Indicator Data'!AG118)/(F$150-F$149)*10)))</f>
        <v>3.1099999999999994</v>
      </c>
      <c r="G116" s="144">
        <f>IF(OR('Indicator Data'!AE118=0,'Indicator Data'!AE118="No data"),"x",IF('Indicator Data'!AE118&gt;G$150,0,IF('Indicator Data'!AE118&lt;G$149,10,(G$150-'Indicator Data'!AE118)/(G$150-G$149)*10)))</f>
        <v>9.6999999999999993</v>
      </c>
      <c r="H116" s="144">
        <f>IF(OR('Indicator Data'!AF118=0,'Indicator Data'!AF118="No data"),"x",IF('Indicator Data'!AF118&gt;H$150,0,IF('Indicator Data'!AF118&lt;H$149,10,(H$150-'Indicator Data'!AF118)/(H$150-H$149)*10)))</f>
        <v>9.85</v>
      </c>
      <c r="I116" s="144">
        <f t="shared" si="32"/>
        <v>7.5533333333333319</v>
      </c>
      <c r="J116" s="49">
        <f t="shared" si="19"/>
        <v>8.2724116509918666</v>
      </c>
      <c r="K116" s="13" t="str">
        <f>IF('Indicator Data'!K118="No data","x",IF('Indicator Data'!K118&gt;K$150,10,IF('Indicator Data'!K118&lt;K$149,0,10-(K$150-'Indicator Data'!K118)/(K$150-K$149)*10)))</f>
        <v>x</v>
      </c>
      <c r="L116" s="13">
        <f>IF('Indicator Data'!L118="No data","x",IF('Indicator Data'!L118&gt;L$150,10,IF('Indicator Data'!L118&lt;L$149,0,10-(L$150-'Indicator Data'!L118)/(L$150-L$149)*10)))</f>
        <v>5.1324999999999994</v>
      </c>
      <c r="M116" s="13" t="str">
        <f>IF('Indicator Data'!M118="No data","x",IF('Indicator Data'!M118&gt;M$150,10,IF('Indicator Data'!M118&lt;M$149,0,10-(M$150-'Indicator Data'!M118)/(M$150-M$149)*10)))</f>
        <v>x</v>
      </c>
      <c r="N116" s="144"/>
      <c r="O116" s="49">
        <f t="shared" si="20"/>
        <v>5.1324999999999994</v>
      </c>
      <c r="P116" s="42">
        <f t="shared" si="21"/>
        <v>7.2257744339945775</v>
      </c>
      <c r="Q116" s="33">
        <f>'Indicator Data'!AA118</f>
        <v>0</v>
      </c>
      <c r="R116" s="13">
        <f t="shared" si="22"/>
        <v>0</v>
      </c>
      <c r="S116" s="38">
        <f>Q116/'Indicator Data'!AN118</f>
        <v>0</v>
      </c>
      <c r="T116" s="13">
        <f t="shared" si="23"/>
        <v>0</v>
      </c>
      <c r="U116" s="14">
        <f t="shared" si="24"/>
        <v>0</v>
      </c>
      <c r="V116" s="33">
        <f>IF('Indicator Data'!Z118="",VLOOKUP($B116,'Indicator Data (national)'!$B$5:$AA$14,26,FALSE),'Indicator Data'!Z118)</f>
        <v>0</v>
      </c>
      <c r="W116" s="13">
        <f t="shared" si="25"/>
        <v>0</v>
      </c>
      <c r="X116" s="38">
        <f>IF('Indicator Data'!Z118="",V116/VLOOKUP($B116,'Indicator Data (national)'!$B$5:$AM$14,38,FALSE),V116/'Indicator Data'!AN118)</f>
        <v>0</v>
      </c>
      <c r="Y116" s="13">
        <f t="shared" si="26"/>
        <v>0</v>
      </c>
      <c r="Z116" s="14">
        <f t="shared" si="27"/>
        <v>0</v>
      </c>
      <c r="AA116" s="149">
        <f t="shared" si="28"/>
        <v>0</v>
      </c>
      <c r="AB116" s="33">
        <f>VLOOKUP($B116,'Indicator Data (national)'!$B$5:$Z$14,25,FALSE)+VLOOKUP($B116,'Indicator Data (national)'!$B$5:$Z$14,24,FALSE)*0.5+VLOOKUP($B116,'Indicator Data (national)'!$B$5:$Z$14,23,FALSE)*0.25</f>
        <v>39250</v>
      </c>
      <c r="AC116" s="39">
        <f>AB116/VLOOKUP($B116,'Indicator Data (national)'!$B$5:$AM$14,38,FALSE)</f>
        <v>3.4746280886455969E-3</v>
      </c>
      <c r="AD116" s="49">
        <f t="shared" si="29"/>
        <v>0.34746280886455949</v>
      </c>
      <c r="AE116" s="13">
        <f>IF('Indicator Data'!V118="No data","x",IF(('Indicator Data'!V118)&gt;AE$150,10,IF(('Indicator Data'!V118)&lt;AE$149,0,10-(AE$150-('Indicator Data'!V118))/(AE$150-AE$149)*10)))</f>
        <v>10</v>
      </c>
      <c r="AF116" s="49">
        <f t="shared" si="30"/>
        <v>10</v>
      </c>
      <c r="AG116" s="34">
        <f t="shared" si="31"/>
        <v>7.6528443162095972</v>
      </c>
      <c r="AH116" s="52">
        <f t="shared" si="33"/>
        <v>4.9123058544494027</v>
      </c>
    </row>
    <row r="117" spans="1:34" s="11" customFormat="1" x14ac:dyDescent="0.25">
      <c r="A117" s="16" t="s">
        <v>515</v>
      </c>
      <c r="B117" s="11" t="s">
        <v>580</v>
      </c>
      <c r="C117" s="16" t="s">
        <v>516</v>
      </c>
      <c r="D117" s="13">
        <f>IF('Indicator Data'!I119="No data","x",IF('Indicator Data'!I119&gt;D$150,0,IF('Indicator Data'!I119&lt;D$149,10,(D$150-'Indicator Data'!I119)/(D$150-D$149)*10)))</f>
        <v>8.8461538461538467</v>
      </c>
      <c r="E117" s="13" t="str">
        <f>IF('Indicator Data'!J119="No data","x",IF('Indicator Data'!J119&gt;E$150,10,IF('Indicator Data'!J119&lt;E$149,0,10-(E$150-'Indicator Data'!J119)/(E$150-E$149)*10)))</f>
        <v>x</v>
      </c>
      <c r="F117" s="144">
        <f>IF(OR('Indicator Data'!AG119=0,'Indicator Data'!AG119="No data"),"x",IF('Indicator Data'!AG119&gt;F$150,0,IF('Indicator Data'!AG119&lt;F$149,10,(F$150-'Indicator Data'!AG119)/(F$150-F$149)*10)))</f>
        <v>4.7799999999999994</v>
      </c>
      <c r="G117" s="144">
        <f>IF(OR('Indicator Data'!AE119=0,'Indicator Data'!AE119="No data"),"x",IF('Indicator Data'!AE119&gt;G$150,0,IF('Indicator Data'!AE119&lt;G$149,10,(G$150-'Indicator Data'!AE119)/(G$150-G$149)*10)))</f>
        <v>9.6999999999999993</v>
      </c>
      <c r="H117" s="144">
        <f>IF(OR('Indicator Data'!AF119=0,'Indicator Data'!AF119="No data"),"x",IF('Indicator Data'!AF119&gt;H$150,0,IF('Indicator Data'!AF119&lt;H$149,10,(H$150-'Indicator Data'!AF119)/(H$150-H$149)*10)))</f>
        <v>9.0400000000000009</v>
      </c>
      <c r="I117" s="144">
        <f t="shared" si="32"/>
        <v>7.84</v>
      </c>
      <c r="J117" s="49">
        <f t="shared" si="19"/>
        <v>8.3891767115354074</v>
      </c>
      <c r="K117" s="13" t="str">
        <f>IF('Indicator Data'!K119="No data","x",IF('Indicator Data'!K119&gt;K$150,10,IF('Indicator Data'!K119&lt;K$149,0,10-(K$150-'Indicator Data'!K119)/(K$150-K$149)*10)))</f>
        <v>x</v>
      </c>
      <c r="L117" s="13">
        <f>IF('Indicator Data'!L119="No data","x",IF('Indicator Data'!L119&gt;L$150,10,IF('Indicator Data'!L119&lt;L$149,0,10-(L$150-'Indicator Data'!L119)/(L$150-L$149)*10)))</f>
        <v>5.1324999999999994</v>
      </c>
      <c r="M117" s="13" t="str">
        <f>IF('Indicator Data'!M119="No data","x",IF('Indicator Data'!M119&gt;M$150,10,IF('Indicator Data'!M119&lt;M$149,0,10-(M$150-'Indicator Data'!M119)/(M$150-M$149)*10)))</f>
        <v>x</v>
      </c>
      <c r="N117" s="144"/>
      <c r="O117" s="49">
        <f t="shared" si="20"/>
        <v>5.1324999999999994</v>
      </c>
      <c r="P117" s="42">
        <f t="shared" si="21"/>
        <v>7.303617807690272</v>
      </c>
      <c r="Q117" s="33">
        <f>'Indicator Data'!AA119</f>
        <v>0</v>
      </c>
      <c r="R117" s="13">
        <f t="shared" si="22"/>
        <v>0</v>
      </c>
      <c r="S117" s="38">
        <f>Q117/'Indicator Data'!AN119</f>
        <v>0</v>
      </c>
      <c r="T117" s="13">
        <f t="shared" si="23"/>
        <v>0</v>
      </c>
      <c r="U117" s="14">
        <f t="shared" si="24"/>
        <v>0</v>
      </c>
      <c r="V117" s="33">
        <f>IF('Indicator Data'!Z119="",VLOOKUP($B117,'Indicator Data (national)'!$B$5:$AA$14,26,FALSE),'Indicator Data'!Z119)</f>
        <v>16160</v>
      </c>
      <c r="W117" s="13">
        <f t="shared" si="25"/>
        <v>4.028137854795224</v>
      </c>
      <c r="X117" s="38">
        <f>IF('Indicator Data'!Z119="",V117/VLOOKUP($B117,'Indicator Data (national)'!$B$5:$AM$14,38,FALSE),V117/'Indicator Data'!AN119)</f>
        <v>3.5523432055940614E-2</v>
      </c>
      <c r="Y117" s="13">
        <f t="shared" si="26"/>
        <v>7.6946569720988656</v>
      </c>
      <c r="Z117" s="14">
        <f t="shared" si="27"/>
        <v>5.8613974134470448</v>
      </c>
      <c r="AA117" s="149">
        <f t="shared" si="28"/>
        <v>2.9306987067235224</v>
      </c>
      <c r="AB117" s="33">
        <f>VLOOKUP($B117,'Indicator Data (national)'!$B$5:$Z$14,25,FALSE)+VLOOKUP($B117,'Indicator Data (national)'!$B$5:$Z$14,24,FALSE)*0.5+VLOOKUP($B117,'Indicator Data (national)'!$B$5:$Z$14,23,FALSE)*0.25</f>
        <v>39250</v>
      </c>
      <c r="AC117" s="39">
        <f>AB117/VLOOKUP($B117,'Indicator Data (national)'!$B$5:$AM$14,38,FALSE)</f>
        <v>3.4746280886455969E-3</v>
      </c>
      <c r="AD117" s="49">
        <f t="shared" si="29"/>
        <v>0.34746280886455949</v>
      </c>
      <c r="AE117" s="13">
        <f>IF('Indicator Data'!V119="No data","x",IF(('Indicator Data'!V119)&gt;AE$150,10,IF(('Indicator Data'!V119)&lt;AE$149,0,10-(AE$150-('Indicator Data'!V119))/(AE$150-AE$149)*10)))</f>
        <v>1.473684210526315</v>
      </c>
      <c r="AF117" s="49">
        <f t="shared" si="30"/>
        <v>1.473684210526315</v>
      </c>
      <c r="AG117" s="34">
        <f t="shared" si="31"/>
        <v>0.92612835724722431</v>
      </c>
      <c r="AH117" s="52">
        <f t="shared" si="33"/>
        <v>3.7989128456486969</v>
      </c>
    </row>
    <row r="118" spans="1:34" s="11" customFormat="1" x14ac:dyDescent="0.25">
      <c r="A118" s="16" t="s">
        <v>517</v>
      </c>
      <c r="B118" s="11" t="s">
        <v>580</v>
      </c>
      <c r="C118" s="16" t="s">
        <v>518</v>
      </c>
      <c r="D118" s="13">
        <f>IF('Indicator Data'!I120="No data","x",IF('Indicator Data'!I120&gt;D$150,0,IF('Indicator Data'!I120&lt;D$149,10,(D$150-'Indicator Data'!I120)/(D$150-D$149)*10)))</f>
        <v>8.8461538461538467</v>
      </c>
      <c r="E118" s="13" t="str">
        <f>IF('Indicator Data'!J120="No data","x",IF('Indicator Data'!J120&gt;E$150,10,IF('Indicator Data'!J120&lt;E$149,0,10-(E$150-'Indicator Data'!J120)/(E$150-E$149)*10)))</f>
        <v>x</v>
      </c>
      <c r="F118" s="144">
        <f>IF(OR('Indicator Data'!AG120=0,'Indicator Data'!AG120="No data"),"x",IF('Indicator Data'!AG120&gt;F$150,0,IF('Indicator Data'!AG120&lt;F$149,10,(F$150-'Indicator Data'!AG120)/(F$150-F$149)*10)))</f>
        <v>0.8</v>
      </c>
      <c r="G118" s="144">
        <f>IF(OR('Indicator Data'!AE120=0,'Indicator Data'!AE120="No data"),"x",IF('Indicator Data'!AE120&gt;G$150,0,IF('Indicator Data'!AE120&lt;G$149,10,(G$150-'Indicator Data'!AE120)/(G$150-G$149)*10)))</f>
        <v>9.6999999999999993</v>
      </c>
      <c r="H118" s="144">
        <f>IF(OR('Indicator Data'!AF120=0,'Indicator Data'!AF120="No data"),"x",IF('Indicator Data'!AF120&gt;H$150,0,IF('Indicator Data'!AF120&lt;H$149,10,(H$150-'Indicator Data'!AF120)/(H$150-H$149)*10)))</f>
        <v>9.6</v>
      </c>
      <c r="I118" s="144">
        <f t="shared" si="32"/>
        <v>6.7</v>
      </c>
      <c r="J118" s="49">
        <f t="shared" si="19"/>
        <v>7.9502602513512226</v>
      </c>
      <c r="K118" s="13" t="str">
        <f>IF('Indicator Data'!K120="No data","x",IF('Indicator Data'!K120&gt;K$150,10,IF('Indicator Data'!K120&lt;K$149,0,10-(K$150-'Indicator Data'!K120)/(K$150-K$149)*10)))</f>
        <v>x</v>
      </c>
      <c r="L118" s="13">
        <f>IF('Indicator Data'!L120="No data","x",IF('Indicator Data'!L120&gt;L$150,10,IF('Indicator Data'!L120&lt;L$149,0,10-(L$150-'Indicator Data'!L120)/(L$150-L$149)*10)))</f>
        <v>5.1324999999999994</v>
      </c>
      <c r="M118" s="13" t="str">
        <f>IF('Indicator Data'!M120="No data","x",IF('Indicator Data'!M120&gt;M$150,10,IF('Indicator Data'!M120&lt;M$149,0,10-(M$150-'Indicator Data'!M120)/(M$150-M$149)*10)))</f>
        <v>x</v>
      </c>
      <c r="N118" s="144"/>
      <c r="O118" s="49">
        <f t="shared" si="20"/>
        <v>5.1324999999999994</v>
      </c>
      <c r="P118" s="42">
        <f t="shared" si="21"/>
        <v>7.0110068342341485</v>
      </c>
      <c r="Q118" s="33">
        <f>'Indicator Data'!AA120</f>
        <v>0</v>
      </c>
      <c r="R118" s="13">
        <f t="shared" si="22"/>
        <v>0</v>
      </c>
      <c r="S118" s="38">
        <f>Q118/'Indicator Data'!AN120</f>
        <v>0</v>
      </c>
      <c r="T118" s="13">
        <f t="shared" si="23"/>
        <v>0</v>
      </c>
      <c r="U118" s="14">
        <f t="shared" si="24"/>
        <v>0</v>
      </c>
      <c r="V118" s="33">
        <f>IF('Indicator Data'!Z120="",VLOOKUP($B118,'Indicator Data (national)'!$B$5:$AA$14,26,FALSE),'Indicator Data'!Z120)</f>
        <v>130828</v>
      </c>
      <c r="W118" s="13">
        <f t="shared" si="25"/>
        <v>7.055669007588854</v>
      </c>
      <c r="X118" s="38">
        <f>IF('Indicator Data'!Z120="",V118/VLOOKUP($B118,'Indicator Data (national)'!$B$5:$AM$14,38,FALSE),V118/'Indicator Data'!AN120)</f>
        <v>0.1666751600146765</v>
      </c>
      <c r="Y118" s="13">
        <f t="shared" si="26"/>
        <v>10</v>
      </c>
      <c r="Z118" s="14">
        <f t="shared" si="27"/>
        <v>8.527834503794427</v>
      </c>
      <c r="AA118" s="149">
        <f t="shared" si="28"/>
        <v>4.2639172518972135</v>
      </c>
      <c r="AB118" s="33">
        <f>VLOOKUP($B118,'Indicator Data (national)'!$B$5:$Z$14,25,FALSE)+VLOOKUP($B118,'Indicator Data (national)'!$B$5:$Z$14,24,FALSE)*0.5+VLOOKUP($B118,'Indicator Data (national)'!$B$5:$Z$14,23,FALSE)*0.25</f>
        <v>39250</v>
      </c>
      <c r="AC118" s="39">
        <f>AB118/VLOOKUP($B118,'Indicator Data (national)'!$B$5:$AM$14,38,FALSE)</f>
        <v>3.4746280886455969E-3</v>
      </c>
      <c r="AD118" s="49">
        <f t="shared" si="29"/>
        <v>0.34746280886455949</v>
      </c>
      <c r="AE118" s="13">
        <f>IF('Indicator Data'!V120="No data","x",IF(('Indicator Data'!V120)&gt;AE$150,10,IF(('Indicator Data'!V120)&lt;AE$149,0,10-(AE$150-('Indicator Data'!V120))/(AE$150-AE$149)*10)))</f>
        <v>9.2631578947368425</v>
      </c>
      <c r="AF118" s="49">
        <f t="shared" si="30"/>
        <v>9.2631578947368425</v>
      </c>
      <c r="AG118" s="34">
        <f t="shared" si="31"/>
        <v>6.6512099350694323</v>
      </c>
      <c r="AH118" s="52">
        <f t="shared" si="33"/>
        <v>7.7168279203604273</v>
      </c>
    </row>
    <row r="119" spans="1:34" s="11" customFormat="1" x14ac:dyDescent="0.25">
      <c r="A119" s="16" t="s">
        <v>519</v>
      </c>
      <c r="B119" s="11" t="s">
        <v>580</v>
      </c>
      <c r="C119" s="16" t="s">
        <v>520</v>
      </c>
      <c r="D119" s="13">
        <f>IF('Indicator Data'!I121="No data","x",IF('Indicator Data'!I121&gt;D$150,0,IF('Indicator Data'!I121&lt;D$149,10,(D$150-'Indicator Data'!I121)/(D$150-D$149)*10)))</f>
        <v>8.8461538461538467</v>
      </c>
      <c r="E119" s="13" t="str">
        <f>IF('Indicator Data'!J121="No data","x",IF('Indicator Data'!J121&gt;E$150,10,IF('Indicator Data'!J121&lt;E$149,0,10-(E$150-'Indicator Data'!J121)/(E$150-E$149)*10)))</f>
        <v>x</v>
      </c>
      <c r="F119" s="144">
        <f>IF(OR('Indicator Data'!AG121=0,'Indicator Data'!AG121="No data"),"x",IF('Indicator Data'!AG121&gt;F$150,0,IF('Indicator Data'!AG121&lt;F$149,10,(F$150-'Indicator Data'!AG121)/(F$150-F$149)*10)))</f>
        <v>3.87</v>
      </c>
      <c r="G119" s="144">
        <f>IF(OR('Indicator Data'!AE121=0,'Indicator Data'!AE121="No data"),"x",IF('Indicator Data'!AE121&gt;G$150,0,IF('Indicator Data'!AE121&lt;G$149,10,(G$150-'Indicator Data'!AE121)/(G$150-G$149)*10)))</f>
        <v>9.6999999999999993</v>
      </c>
      <c r="H119" s="144">
        <f>IF(OR('Indicator Data'!AF121=0,'Indicator Data'!AF121="No data"),"x",IF('Indicator Data'!AF121&gt;H$150,0,IF('Indicator Data'!AF121&lt;H$149,10,(H$150-'Indicator Data'!AF121)/(H$150-H$149)*10)))</f>
        <v>7.75</v>
      </c>
      <c r="I119" s="144">
        <f t="shared" si="32"/>
        <v>7.1066666666666665</v>
      </c>
      <c r="J119" s="49">
        <f t="shared" si="19"/>
        <v>8.0994843851435316</v>
      </c>
      <c r="K119" s="13" t="str">
        <f>IF('Indicator Data'!K121="No data","x",IF('Indicator Data'!K121&gt;K$150,10,IF('Indicator Data'!K121&lt;K$149,0,10-(K$150-'Indicator Data'!K121)/(K$150-K$149)*10)))</f>
        <v>x</v>
      </c>
      <c r="L119" s="13">
        <f>IF('Indicator Data'!L121="No data","x",IF('Indicator Data'!L121&gt;L$150,10,IF('Indicator Data'!L121&lt;L$149,0,10-(L$150-'Indicator Data'!L121)/(L$150-L$149)*10)))</f>
        <v>5.1324999999999994</v>
      </c>
      <c r="M119" s="13" t="str">
        <f>IF('Indicator Data'!M121="No data","x",IF('Indicator Data'!M121&gt;M$150,10,IF('Indicator Data'!M121&lt;M$149,0,10-(M$150-'Indicator Data'!M121)/(M$150-M$149)*10)))</f>
        <v>x</v>
      </c>
      <c r="N119" s="144"/>
      <c r="O119" s="49">
        <f t="shared" si="20"/>
        <v>5.1324999999999994</v>
      </c>
      <c r="P119" s="42">
        <f t="shared" si="21"/>
        <v>7.1104895900956882</v>
      </c>
      <c r="Q119" s="33">
        <f>'Indicator Data'!AA121</f>
        <v>0</v>
      </c>
      <c r="R119" s="13">
        <f t="shared" si="22"/>
        <v>0</v>
      </c>
      <c r="S119" s="38">
        <f>Q119/'Indicator Data'!AN121</f>
        <v>0</v>
      </c>
      <c r="T119" s="13">
        <f t="shared" si="23"/>
        <v>0</v>
      </c>
      <c r="U119" s="14">
        <f t="shared" si="24"/>
        <v>0</v>
      </c>
      <c r="V119" s="33">
        <f>IF('Indicator Data'!Z121="",VLOOKUP($B119,'Indicator Data (national)'!$B$5:$AA$14,26,FALSE),'Indicator Data'!Z121)</f>
        <v>4707</v>
      </c>
      <c r="W119" s="13">
        <f t="shared" si="25"/>
        <v>2.2424806610219958</v>
      </c>
      <c r="X119" s="38">
        <f>IF('Indicator Data'!Z121="",V119/VLOOKUP($B119,'Indicator Data (national)'!$B$5:$AM$14,38,FALSE),V119/'Indicator Data'!AN121)</f>
        <v>5.4713026861341356E-3</v>
      </c>
      <c r="Y119" s="13">
        <f t="shared" si="26"/>
        <v>4.8507996952016521</v>
      </c>
      <c r="Z119" s="14">
        <f t="shared" si="27"/>
        <v>3.546640178111824</v>
      </c>
      <c r="AA119" s="149">
        <f t="shared" si="28"/>
        <v>1.773320089055912</v>
      </c>
      <c r="AB119" s="33">
        <f>VLOOKUP($B119,'Indicator Data (national)'!$B$5:$Z$14,25,FALSE)+VLOOKUP($B119,'Indicator Data (national)'!$B$5:$Z$14,24,FALSE)*0.5+VLOOKUP($B119,'Indicator Data (national)'!$B$5:$Z$14,23,FALSE)*0.25</f>
        <v>39250</v>
      </c>
      <c r="AC119" s="39">
        <f>AB119/VLOOKUP($B119,'Indicator Data (national)'!$B$5:$AM$14,38,FALSE)</f>
        <v>3.4746280886455969E-3</v>
      </c>
      <c r="AD119" s="49">
        <f t="shared" si="29"/>
        <v>0.34746280886455949</v>
      </c>
      <c r="AE119" s="13">
        <f>IF('Indicator Data'!V121="No data","x",IF(('Indicator Data'!V121)&gt;AE$150,10,IF(('Indicator Data'!V121)&lt;AE$149,0,10-(AE$150-('Indicator Data'!V121))/(AE$150-AE$149)*10)))</f>
        <v>0</v>
      </c>
      <c r="AF119" s="49">
        <f t="shared" si="30"/>
        <v>0</v>
      </c>
      <c r="AG119" s="34">
        <f t="shared" si="31"/>
        <v>0.17511128269195098</v>
      </c>
      <c r="AH119" s="52">
        <f t="shared" si="33"/>
        <v>2.0157797358745868</v>
      </c>
    </row>
    <row r="120" spans="1:34" s="11" customFormat="1" x14ac:dyDescent="0.25">
      <c r="A120" s="16" t="s">
        <v>521</v>
      </c>
      <c r="B120" s="11" t="s">
        <v>580</v>
      </c>
      <c r="C120" s="16" t="s">
        <v>522</v>
      </c>
      <c r="D120" s="13">
        <f>IF('Indicator Data'!I122="No data","x",IF('Indicator Data'!I122&gt;D$150,0,IF('Indicator Data'!I122&lt;D$149,10,(D$150-'Indicator Data'!I122)/(D$150-D$149)*10)))</f>
        <v>8.8461538461538467</v>
      </c>
      <c r="E120" s="13" t="str">
        <f>IF('Indicator Data'!J122="No data","x",IF('Indicator Data'!J122&gt;E$150,10,IF('Indicator Data'!J122&lt;E$149,0,10-(E$150-'Indicator Data'!J122)/(E$150-E$149)*10)))</f>
        <v>x</v>
      </c>
      <c r="F120" s="144">
        <f>IF(OR('Indicator Data'!AG122=0,'Indicator Data'!AG122="No data"),"x",IF('Indicator Data'!AG122&gt;F$150,0,IF('Indicator Data'!AG122&lt;F$149,10,(F$150-'Indicator Data'!AG122)/(F$150-F$149)*10)))</f>
        <v>4.12</v>
      </c>
      <c r="G120" s="144">
        <f>IF(OR('Indicator Data'!AE122=0,'Indicator Data'!AE122="No data"),"x",IF('Indicator Data'!AE122&gt;G$150,0,IF('Indicator Data'!AE122&lt;G$149,10,(G$150-'Indicator Data'!AE122)/(G$150-G$149)*10)))</f>
        <v>9.6999999999999993</v>
      </c>
      <c r="H120" s="144">
        <f>IF(OR('Indicator Data'!AF122=0,'Indicator Data'!AF122="No data"),"x",IF('Indicator Data'!AF122&gt;H$150,0,IF('Indicator Data'!AF122&lt;H$149,10,(H$150-'Indicator Data'!AF122)/(H$150-H$149)*10)))</f>
        <v>8.73</v>
      </c>
      <c r="I120" s="144">
        <f t="shared" si="32"/>
        <v>7.5166666666666666</v>
      </c>
      <c r="J120" s="49">
        <f t="shared" si="19"/>
        <v>8.2578212453719644</v>
      </c>
      <c r="K120" s="13" t="str">
        <f>IF('Indicator Data'!K122="No data","x",IF('Indicator Data'!K122&gt;K$150,10,IF('Indicator Data'!K122&lt;K$149,0,10-(K$150-'Indicator Data'!K122)/(K$150-K$149)*10)))</f>
        <v>x</v>
      </c>
      <c r="L120" s="13">
        <f>IF('Indicator Data'!L122="No data","x",IF('Indicator Data'!L122&gt;L$150,10,IF('Indicator Data'!L122&lt;L$149,0,10-(L$150-'Indicator Data'!L122)/(L$150-L$149)*10)))</f>
        <v>5.1324999999999994</v>
      </c>
      <c r="M120" s="13" t="str">
        <f>IF('Indicator Data'!M122="No data","x",IF('Indicator Data'!M122&gt;M$150,10,IF('Indicator Data'!M122&lt;M$149,0,10-(M$150-'Indicator Data'!M122)/(M$150-M$149)*10)))</f>
        <v>x</v>
      </c>
      <c r="N120" s="144"/>
      <c r="O120" s="49">
        <f t="shared" si="20"/>
        <v>5.1324999999999994</v>
      </c>
      <c r="P120" s="42">
        <f t="shared" si="21"/>
        <v>7.2160474969146433</v>
      </c>
      <c r="Q120" s="33">
        <f>'Indicator Data'!AA122</f>
        <v>0</v>
      </c>
      <c r="R120" s="13">
        <f t="shared" si="22"/>
        <v>0</v>
      </c>
      <c r="S120" s="38">
        <f>Q120/'Indicator Data'!AN122</f>
        <v>0</v>
      </c>
      <c r="T120" s="13">
        <f t="shared" si="23"/>
        <v>0</v>
      </c>
      <c r="U120" s="14">
        <f t="shared" si="24"/>
        <v>0</v>
      </c>
      <c r="V120" s="33">
        <f>IF('Indicator Data'!Z122="",VLOOKUP($B120,'Indicator Data (national)'!$B$5:$AA$14,26,FALSE),'Indicator Data'!Z122)</f>
        <v>63958</v>
      </c>
      <c r="W120" s="13">
        <f t="shared" si="25"/>
        <v>6.0196495822389702</v>
      </c>
      <c r="X120" s="38">
        <f>IF('Indicator Data'!Z122="",V120/VLOOKUP($B120,'Indicator Data (national)'!$B$5:$AM$14,38,FALSE),V120/'Indicator Data'!AN122)</f>
        <v>3.7053902484241751E-2</v>
      </c>
      <c r="Y120" s="13">
        <f t="shared" si="26"/>
        <v>7.7751264766172037</v>
      </c>
      <c r="Z120" s="14">
        <f t="shared" si="27"/>
        <v>6.8973880294280869</v>
      </c>
      <c r="AA120" s="149">
        <f t="shared" si="28"/>
        <v>3.4486940147140435</v>
      </c>
      <c r="AB120" s="33">
        <f>VLOOKUP($B120,'Indicator Data (national)'!$B$5:$Z$14,25,FALSE)+VLOOKUP($B120,'Indicator Data (national)'!$B$5:$Z$14,24,FALSE)*0.5+VLOOKUP($B120,'Indicator Data (national)'!$B$5:$Z$14,23,FALSE)*0.25</f>
        <v>39250</v>
      </c>
      <c r="AC120" s="39">
        <f>AB120/VLOOKUP($B120,'Indicator Data (national)'!$B$5:$AM$14,38,FALSE)</f>
        <v>3.4746280886455969E-3</v>
      </c>
      <c r="AD120" s="49">
        <f t="shared" si="29"/>
        <v>0.34746280886455949</v>
      </c>
      <c r="AE120" s="13">
        <f>IF('Indicator Data'!V122="No data","x",IF(('Indicator Data'!V122)&gt;AE$150,10,IF(('Indicator Data'!V122)&lt;AE$149,0,10-(AE$150-('Indicator Data'!V122))/(AE$150-AE$149)*10)))</f>
        <v>5.5789473684210522</v>
      </c>
      <c r="AF120" s="49">
        <f t="shared" si="30"/>
        <v>5.5789473684210522</v>
      </c>
      <c r="AG120" s="34">
        <f t="shared" si="31"/>
        <v>3.3944884770337009</v>
      </c>
      <c r="AH120" s="52">
        <f t="shared" si="33"/>
        <v>5.4088562145066419</v>
      </c>
    </row>
    <row r="121" spans="1:34" s="11" customFormat="1" x14ac:dyDescent="0.25">
      <c r="A121" s="16" t="s">
        <v>523</v>
      </c>
      <c r="B121" s="11" t="s">
        <v>580</v>
      </c>
      <c r="C121" s="16" t="s">
        <v>524</v>
      </c>
      <c r="D121" s="13">
        <f>IF('Indicator Data'!I123="No data","x",IF('Indicator Data'!I123&gt;D$150,0,IF('Indicator Data'!I123&lt;D$149,10,(D$150-'Indicator Data'!I123)/(D$150-D$149)*10)))</f>
        <v>8.8461538461538467</v>
      </c>
      <c r="E121" s="13" t="str">
        <f>IF('Indicator Data'!J123="No data","x",IF('Indicator Data'!J123&gt;E$150,10,IF('Indicator Data'!J123&lt;E$149,0,10-(E$150-'Indicator Data'!J123)/(E$150-E$149)*10)))</f>
        <v>x</v>
      </c>
      <c r="F121" s="144">
        <f>IF(OR('Indicator Data'!AG123=0,'Indicator Data'!AG123="No data"),"x",IF('Indicator Data'!AG123&gt;F$150,0,IF('Indicator Data'!AG123&lt;F$149,10,(F$150-'Indicator Data'!AG123)/(F$150-F$149)*10)))</f>
        <v>1.6099999999999994</v>
      </c>
      <c r="G121" s="144">
        <f>IF(OR('Indicator Data'!AE123=0,'Indicator Data'!AE123="No data"),"x",IF('Indicator Data'!AE123&gt;G$150,0,IF('Indicator Data'!AE123&lt;G$149,10,(G$150-'Indicator Data'!AE123)/(G$150-G$149)*10)))</f>
        <v>9.6999999999999993</v>
      </c>
      <c r="H121" s="144">
        <f>IF(OR('Indicator Data'!AF123=0,'Indicator Data'!AF123="No data"),"x",IF('Indicator Data'!AF123&gt;H$150,0,IF('Indicator Data'!AF123&lt;H$149,10,(H$150-'Indicator Data'!AF123)/(H$150-H$149)*10)))</f>
        <v>9.5499999999999989</v>
      </c>
      <c r="I121" s="144">
        <f t="shared" si="32"/>
        <v>6.9533333333333331</v>
      </c>
      <c r="J121" s="49">
        <f t="shared" si="19"/>
        <v>8.0423672339105963</v>
      </c>
      <c r="K121" s="13" t="str">
        <f>IF('Indicator Data'!K123="No data","x",IF('Indicator Data'!K123&gt;K$150,10,IF('Indicator Data'!K123&lt;K$149,0,10-(K$150-'Indicator Data'!K123)/(K$150-K$149)*10)))</f>
        <v>x</v>
      </c>
      <c r="L121" s="13">
        <f>IF('Indicator Data'!L123="No data","x",IF('Indicator Data'!L123&gt;L$150,10,IF('Indicator Data'!L123&lt;L$149,0,10-(L$150-'Indicator Data'!L123)/(L$150-L$149)*10)))</f>
        <v>5.1324999999999994</v>
      </c>
      <c r="M121" s="13" t="str">
        <f>IF('Indicator Data'!M123="No data","x",IF('Indicator Data'!M123&gt;M$150,10,IF('Indicator Data'!M123&lt;M$149,0,10-(M$150-'Indicator Data'!M123)/(M$150-M$149)*10)))</f>
        <v>x</v>
      </c>
      <c r="N121" s="144"/>
      <c r="O121" s="49">
        <f t="shared" si="20"/>
        <v>5.1324999999999994</v>
      </c>
      <c r="P121" s="42">
        <f t="shared" si="21"/>
        <v>7.0724114892737306</v>
      </c>
      <c r="Q121" s="33">
        <f>'Indicator Data'!AA123</f>
        <v>0</v>
      </c>
      <c r="R121" s="13">
        <f t="shared" si="22"/>
        <v>0</v>
      </c>
      <c r="S121" s="38">
        <f>Q121/'Indicator Data'!AN123</f>
        <v>0</v>
      </c>
      <c r="T121" s="13">
        <f t="shared" si="23"/>
        <v>0</v>
      </c>
      <c r="U121" s="14">
        <f t="shared" si="24"/>
        <v>0</v>
      </c>
      <c r="V121" s="33">
        <f>IF('Indicator Data'!Z123="",VLOOKUP($B121,'Indicator Data (national)'!$B$5:$AA$14,26,FALSE),'Indicator Data'!Z123)</f>
        <v>7566</v>
      </c>
      <c r="W121" s="13">
        <f t="shared" si="25"/>
        <v>2.9295544565224176</v>
      </c>
      <c r="X121" s="38">
        <f>IF('Indicator Data'!Z123="",V121/VLOOKUP($B121,'Indicator Data (national)'!$B$5:$AM$14,38,FALSE),V121/'Indicator Data'!AN123)</f>
        <v>7.3665362966944059E-3</v>
      </c>
      <c r="Y121" s="13">
        <f t="shared" si="26"/>
        <v>5.2200229169817476</v>
      </c>
      <c r="Z121" s="14">
        <f t="shared" si="27"/>
        <v>4.0747886867520826</v>
      </c>
      <c r="AA121" s="149">
        <f t="shared" si="28"/>
        <v>2.0373943433760413</v>
      </c>
      <c r="AB121" s="33">
        <f>VLOOKUP($B121,'Indicator Data (national)'!$B$5:$Z$14,25,FALSE)+VLOOKUP($B121,'Indicator Data (national)'!$B$5:$Z$14,24,FALSE)*0.5+VLOOKUP($B121,'Indicator Data (national)'!$B$5:$Z$14,23,FALSE)*0.25</f>
        <v>39250</v>
      </c>
      <c r="AC121" s="39">
        <f>AB121/VLOOKUP($B121,'Indicator Data (national)'!$B$5:$AM$14,38,FALSE)</f>
        <v>3.4746280886455969E-3</v>
      </c>
      <c r="AD121" s="49">
        <f t="shared" si="29"/>
        <v>0.34746280886455949</v>
      </c>
      <c r="AE121" s="13">
        <f>IF('Indicator Data'!V123="No data","x",IF(('Indicator Data'!V123)&gt;AE$150,10,IF(('Indicator Data'!V123)&lt;AE$149,0,10-(AE$150-('Indicator Data'!V123))/(AE$150-AE$149)*10)))</f>
        <v>3.2105263157894735</v>
      </c>
      <c r="AF121" s="49">
        <f t="shared" si="30"/>
        <v>3.2105263157894735</v>
      </c>
      <c r="AG121" s="34">
        <f t="shared" si="31"/>
        <v>1.8894455284238574</v>
      </c>
      <c r="AH121" s="52">
        <f t="shared" si="33"/>
        <v>3.0558884370069253</v>
      </c>
    </row>
    <row r="122" spans="1:34" s="11" customFormat="1" x14ac:dyDescent="0.25">
      <c r="A122" s="16" t="s">
        <v>526</v>
      </c>
      <c r="B122" s="11" t="s">
        <v>579</v>
      </c>
      <c r="C122" s="16" t="s">
        <v>527</v>
      </c>
      <c r="D122" s="13">
        <f>IF('Indicator Data'!I124="No data","x",IF('Indicator Data'!I124&gt;D$150,0,IF('Indicator Data'!I124&lt;D$149,10,(D$150-'Indicator Data'!I124)/(D$150-D$149)*10)))</f>
        <v>4.0000000000000009</v>
      </c>
      <c r="E122" s="13" t="str">
        <f>IF('Indicator Data'!J124="No data","x",IF('Indicator Data'!J124&gt;E$150,10,IF('Indicator Data'!J124&lt;E$149,0,10-(E$150-'Indicator Data'!J124)/(E$150-E$149)*10)))</f>
        <v>x</v>
      </c>
      <c r="F122" s="144">
        <f>IF(OR('Indicator Data'!AG124=0,'Indicator Data'!AG124="No data"),"x",IF('Indicator Data'!AG124&gt;F$150,0,IF('Indicator Data'!AG124&lt;F$149,10,(F$150-'Indicator Data'!AG124)/(F$150-F$149)*10)))</f>
        <v>3.95</v>
      </c>
      <c r="G122" s="144" t="str">
        <f>IF(OR('Indicator Data'!AE124=0,'Indicator Data'!AE124="No data"),"x",IF('Indicator Data'!AE124&gt;G$150,0,IF('Indicator Data'!AE124&lt;G$149,10,(G$150-'Indicator Data'!AE124)/(G$150-G$149)*10)))</f>
        <v>x</v>
      </c>
      <c r="H122" s="144">
        <f>IF(OR('Indicator Data'!AF124=0,'Indicator Data'!AF124="No data"),"x",IF('Indicator Data'!AF124&gt;H$150,0,IF('Indicator Data'!AF124&lt;H$149,10,(H$150-'Indicator Data'!AF124)/(H$150-H$149)*10)))</f>
        <v>7.3</v>
      </c>
      <c r="I122" s="144">
        <f t="shared" si="32"/>
        <v>5.625</v>
      </c>
      <c r="J122" s="49">
        <f t="shared" si="19"/>
        <v>4.8651247455310251</v>
      </c>
      <c r="K122" s="13">
        <f>IF('Indicator Data'!K124="No data","x",IF('Indicator Data'!K124&gt;K$150,10,IF('Indicator Data'!K124&lt;K$149,0,10-(K$150-'Indicator Data'!K124)/(K$150-K$149)*10)))</f>
        <v>8.3723549853435522</v>
      </c>
      <c r="L122" s="13">
        <f>IF('Indicator Data'!L124="No data","x",IF('Indicator Data'!L124&gt;L$150,10,IF('Indicator Data'!L124&lt;L$149,0,10-(L$150-'Indicator Data'!L124)/(L$150-L$149)*10)))</f>
        <v>2.5724999999999998</v>
      </c>
      <c r="M122" s="13" t="str">
        <f>IF('Indicator Data'!M124="No data","x",IF('Indicator Data'!M124&gt;M$150,10,IF('Indicator Data'!M124&lt;M$149,0,10-(M$150-'Indicator Data'!M124)/(M$150-M$149)*10)))</f>
        <v>x</v>
      </c>
      <c r="N122" s="144"/>
      <c r="O122" s="49">
        <f t="shared" si="20"/>
        <v>5.472427492671776</v>
      </c>
      <c r="P122" s="42">
        <f t="shared" si="21"/>
        <v>5.0675589945779427</v>
      </c>
      <c r="Q122" s="33">
        <f>'Indicator Data'!AA124</f>
        <v>22274</v>
      </c>
      <c r="R122" s="13">
        <f t="shared" si="22"/>
        <v>4.4926607177493985</v>
      </c>
      <c r="S122" s="38">
        <f>Q122/'Indicator Data'!AN124</f>
        <v>5.065048143425864E-3</v>
      </c>
      <c r="T122" s="13">
        <f t="shared" si="23"/>
        <v>4.7593665090854671</v>
      </c>
      <c r="U122" s="14">
        <f t="shared" si="24"/>
        <v>4.6260136134174328</v>
      </c>
      <c r="V122" s="33">
        <f>IF('Indicator Data'!Z124="",VLOOKUP($B122,'Indicator Data (national)'!$B$5:$AA$14,26,FALSE),'Indicator Data'!Z124)</f>
        <v>0</v>
      </c>
      <c r="W122" s="13">
        <f t="shared" si="25"/>
        <v>0</v>
      </c>
      <c r="X122" s="38">
        <f>IF('Indicator Data'!Z124="",V122/VLOOKUP($B122,'Indicator Data (national)'!$B$5:$AM$14,38,FALSE),V122/'Indicator Data'!AN124)</f>
        <v>0</v>
      </c>
      <c r="Y122" s="13">
        <f t="shared" si="26"/>
        <v>0</v>
      </c>
      <c r="Z122" s="14">
        <f t="shared" si="27"/>
        <v>0</v>
      </c>
      <c r="AA122" s="149">
        <f t="shared" si="28"/>
        <v>2.3130068067087164</v>
      </c>
      <c r="AB122" s="33">
        <f>VLOOKUP($B122,'Indicator Data (national)'!$B$5:$Z$14,25,FALSE)+VLOOKUP($B122,'Indicator Data (national)'!$B$5:$Z$14,24,FALSE)*0.5+VLOOKUP($B122,'Indicator Data (national)'!$B$5:$Z$14,23,FALSE)*0.25</f>
        <v>934292.25</v>
      </c>
      <c r="AC122" s="39">
        <f>AB122/VLOOKUP($B122,'Indicator Data (national)'!$B$5:$AM$14,38,FALSE)</f>
        <v>2.4609754488861196E-2</v>
      </c>
      <c r="AD122" s="49">
        <f t="shared" si="29"/>
        <v>2.4609754488861206</v>
      </c>
      <c r="AE122" s="13">
        <f>IF('Indicator Data'!V124="No data","x",IF(('Indicator Data'!V124)&gt;AE$150,10,IF(('Indicator Data'!V124)&lt;AE$149,0,10-(AE$150-('Indicator Data'!V124))/(AE$150-AE$149)*10)))</f>
        <v>0</v>
      </c>
      <c r="AF122" s="49">
        <f t="shared" si="30"/>
        <v>0</v>
      </c>
      <c r="AG122" s="34">
        <f t="shared" si="31"/>
        <v>1.3074067872768502</v>
      </c>
      <c r="AH122" s="52">
        <f t="shared" si="33"/>
        <v>0.67415523103750985</v>
      </c>
    </row>
    <row r="123" spans="1:34" s="11" customFormat="1" x14ac:dyDescent="0.25">
      <c r="A123" s="16" t="s">
        <v>528</v>
      </c>
      <c r="B123" s="11" t="s">
        <v>579</v>
      </c>
      <c r="C123" s="16" t="s">
        <v>529</v>
      </c>
      <c r="D123" s="13">
        <f>IF('Indicator Data'!I125="No data","x",IF('Indicator Data'!I125&gt;D$150,0,IF('Indicator Data'!I125&lt;D$149,10,(D$150-'Indicator Data'!I125)/(D$150-D$149)*10)))</f>
        <v>6.4461538461538463</v>
      </c>
      <c r="E123" s="13" t="str">
        <f>IF('Indicator Data'!J125="No data","x",IF('Indicator Data'!J125&gt;E$150,10,IF('Indicator Data'!J125&lt;E$149,0,10-(E$150-'Indicator Data'!J125)/(E$150-E$149)*10)))</f>
        <v>x</v>
      </c>
      <c r="F123" s="144">
        <f>IF(OR('Indicator Data'!AG125=0,'Indicator Data'!AG125="No data"),"x",IF('Indicator Data'!AG125&gt;F$150,0,IF('Indicator Data'!AG125&lt;F$149,10,(F$150-'Indicator Data'!AG125)/(F$150-F$149)*10)))</f>
        <v>3.95</v>
      </c>
      <c r="G123" s="144" t="str">
        <f>IF(OR('Indicator Data'!AE125=0,'Indicator Data'!AE125="No data"),"x",IF('Indicator Data'!AE125&gt;G$150,0,IF('Indicator Data'!AE125&lt;G$149,10,(G$150-'Indicator Data'!AE125)/(G$150-G$149)*10)))</f>
        <v>x</v>
      </c>
      <c r="H123" s="144">
        <f>IF(OR('Indicator Data'!AF125=0,'Indicator Data'!AF125="No data"),"x",IF('Indicator Data'!AF125&gt;H$150,0,IF('Indicator Data'!AF125&lt;H$149,10,(H$150-'Indicator Data'!AF125)/(H$150-H$149)*10)))</f>
        <v>7.3</v>
      </c>
      <c r="I123" s="144">
        <f t="shared" si="32"/>
        <v>5.625</v>
      </c>
      <c r="J123" s="49">
        <f t="shared" si="19"/>
        <v>6.0522106491391074</v>
      </c>
      <c r="K123" s="13">
        <f>IF('Indicator Data'!K125="No data","x",IF('Indicator Data'!K125&gt;K$150,10,IF('Indicator Data'!K125&lt;K$149,0,10-(K$150-'Indicator Data'!K125)/(K$150-K$149)*10)))</f>
        <v>8.3723549853435522</v>
      </c>
      <c r="L123" s="13">
        <f>IF('Indicator Data'!L125="No data","x",IF('Indicator Data'!L125&gt;L$150,10,IF('Indicator Data'!L125&lt;L$149,0,10-(L$150-'Indicator Data'!L125)/(L$150-L$149)*10)))</f>
        <v>2.5724999999999998</v>
      </c>
      <c r="M123" s="13" t="str">
        <f>IF('Indicator Data'!M125="No data","x",IF('Indicator Data'!M125&gt;M$150,10,IF('Indicator Data'!M125&lt;M$149,0,10-(M$150-'Indicator Data'!M125)/(M$150-M$149)*10)))</f>
        <v>x</v>
      </c>
      <c r="N123" s="144"/>
      <c r="O123" s="49">
        <f t="shared" si="20"/>
        <v>5.472427492671776</v>
      </c>
      <c r="P123" s="42">
        <f t="shared" si="21"/>
        <v>5.8589495969833303</v>
      </c>
      <c r="Q123" s="33">
        <f>'Indicator Data'!AA125</f>
        <v>3661</v>
      </c>
      <c r="R123" s="13">
        <f t="shared" si="22"/>
        <v>1.8786657629384376</v>
      </c>
      <c r="S123" s="38">
        <f>Q123/'Indicator Data'!AN125</f>
        <v>3.8251366120218579E-3</v>
      </c>
      <c r="T123" s="13">
        <f t="shared" si="23"/>
        <v>4.4409384800628828</v>
      </c>
      <c r="U123" s="14">
        <f t="shared" si="24"/>
        <v>3.1598021215006602</v>
      </c>
      <c r="V123" s="33">
        <f>IF('Indicator Data'!Z125="",VLOOKUP($B123,'Indicator Data (national)'!$B$5:$AA$14,26,FALSE),'Indicator Data'!Z125)</f>
        <v>135205</v>
      </c>
      <c r="W123" s="13">
        <f t="shared" si="25"/>
        <v>7.1033091749836519</v>
      </c>
      <c r="X123" s="38">
        <f>IF('Indicator Data'!Z125="",V123/VLOOKUP($B123,'Indicator Data (national)'!$B$5:$AM$14,38,FALSE),V123/'Indicator Data'!AN125)</f>
        <v>0.14126675652237511</v>
      </c>
      <c r="Y123" s="13">
        <f t="shared" si="26"/>
        <v>10</v>
      </c>
      <c r="Z123" s="14">
        <f t="shared" si="27"/>
        <v>8.5516545874918251</v>
      </c>
      <c r="AA123" s="149">
        <f t="shared" si="28"/>
        <v>5.8557283544962431</v>
      </c>
      <c r="AB123" s="33">
        <f>VLOOKUP($B123,'Indicator Data (national)'!$B$5:$Z$14,25,FALSE)+VLOOKUP($B123,'Indicator Data (national)'!$B$5:$Z$14,24,FALSE)*0.5+VLOOKUP($B123,'Indicator Data (national)'!$B$5:$Z$14,23,FALSE)*0.25</f>
        <v>934292.25</v>
      </c>
      <c r="AC123" s="39">
        <f>AB123/VLOOKUP($B123,'Indicator Data (national)'!$B$5:$AM$14,38,FALSE)</f>
        <v>2.4609754488861196E-2</v>
      </c>
      <c r="AD123" s="49">
        <f t="shared" si="29"/>
        <v>2.4609754488861206</v>
      </c>
      <c r="AE123" s="13">
        <f>IF('Indicator Data'!V125="No data","x",IF(('Indicator Data'!V125)&gt;AE$150,10,IF(('Indicator Data'!V125)&lt;AE$149,0,10-(AE$150-('Indicator Data'!V125))/(AE$150-AE$149)*10)))</f>
        <v>3.1578947368421053</v>
      </c>
      <c r="AF123" s="49">
        <f t="shared" si="30"/>
        <v>3.1578947368421053</v>
      </c>
      <c r="AG123" s="34">
        <f t="shared" si="31"/>
        <v>2.8167515464155901</v>
      </c>
      <c r="AH123" s="52">
        <f t="shared" si="33"/>
        <v>6.5036114966668555</v>
      </c>
    </row>
    <row r="124" spans="1:34" s="11" customFormat="1" x14ac:dyDescent="0.25">
      <c r="A124" s="16" t="s">
        <v>530</v>
      </c>
      <c r="B124" s="11" t="s">
        <v>579</v>
      </c>
      <c r="C124" s="16" t="s">
        <v>531</v>
      </c>
      <c r="D124" s="13" t="str">
        <f>IF('Indicator Data'!I126="No data","x",IF('Indicator Data'!I126&gt;D$150,0,IF('Indicator Data'!I126&lt;D$149,10,(D$150-'Indicator Data'!I126)/(D$150-D$149)*10)))</f>
        <v>x</v>
      </c>
      <c r="E124" s="13" t="str">
        <f>IF('Indicator Data'!J126="No data","x",IF('Indicator Data'!J126&gt;E$150,10,IF('Indicator Data'!J126&lt;E$149,0,10-(E$150-'Indicator Data'!J126)/(E$150-E$149)*10)))</f>
        <v>x</v>
      </c>
      <c r="F124" s="144">
        <f>IF(OR('Indicator Data'!AG126=0,'Indicator Data'!AG126="No data"),"x",IF('Indicator Data'!AG126&gt;F$150,0,IF('Indicator Data'!AG126&lt;F$149,10,(F$150-'Indicator Data'!AG126)/(F$150-F$149)*10)))</f>
        <v>3.95</v>
      </c>
      <c r="G124" s="144" t="str">
        <f>IF(OR('Indicator Data'!AE126=0,'Indicator Data'!AE126="No data"),"x",IF('Indicator Data'!AE126&gt;G$150,0,IF('Indicator Data'!AE126&lt;G$149,10,(G$150-'Indicator Data'!AE126)/(G$150-G$149)*10)))</f>
        <v>x</v>
      </c>
      <c r="H124" s="144">
        <f>IF(OR('Indicator Data'!AF126=0,'Indicator Data'!AF126="No data"),"x",IF('Indicator Data'!AF126&gt;H$150,0,IF('Indicator Data'!AF126&lt;H$149,10,(H$150-'Indicator Data'!AF126)/(H$150-H$149)*10)))</f>
        <v>7.3</v>
      </c>
      <c r="I124" s="144">
        <f t="shared" si="32"/>
        <v>5.625</v>
      </c>
      <c r="J124" s="49">
        <f t="shared" si="19"/>
        <v>5.625</v>
      </c>
      <c r="K124" s="13">
        <f>IF('Indicator Data'!K126="No data","x",IF('Indicator Data'!K126&gt;K$150,10,IF('Indicator Data'!K126&lt;K$149,0,10-(K$150-'Indicator Data'!K126)/(K$150-K$149)*10)))</f>
        <v>8.3723549853435522</v>
      </c>
      <c r="L124" s="13">
        <f>IF('Indicator Data'!L126="No data","x",IF('Indicator Data'!L126&gt;L$150,10,IF('Indicator Data'!L126&lt;L$149,0,10-(L$150-'Indicator Data'!L126)/(L$150-L$149)*10)))</f>
        <v>2.5724999999999998</v>
      </c>
      <c r="M124" s="13" t="str">
        <f>IF('Indicator Data'!M126="No data","x",IF('Indicator Data'!M126&gt;M$150,10,IF('Indicator Data'!M126&lt;M$149,0,10-(M$150-'Indicator Data'!M126)/(M$150-M$149)*10)))</f>
        <v>x</v>
      </c>
      <c r="N124" s="144"/>
      <c r="O124" s="49">
        <f t="shared" si="20"/>
        <v>5.472427492671776</v>
      </c>
      <c r="P124" s="42">
        <f t="shared" si="21"/>
        <v>5.5741424975572587</v>
      </c>
      <c r="Q124" s="33">
        <f>'Indicator Data'!AA126</f>
        <v>8950</v>
      </c>
      <c r="R124" s="13">
        <f t="shared" si="22"/>
        <v>3.1727434510530408</v>
      </c>
      <c r="S124" s="38">
        <f>Q124/'Indicator Data'!AN126</f>
        <v>1.1191095139313505E-2</v>
      </c>
      <c r="T124" s="13">
        <f t="shared" si="23"/>
        <v>5.787145906906642</v>
      </c>
      <c r="U124" s="14">
        <f t="shared" si="24"/>
        <v>4.4799446789798409</v>
      </c>
      <c r="V124" s="33">
        <f>IF('Indicator Data'!Z126="",VLOOKUP($B124,'Indicator Data (national)'!$B$5:$AA$14,26,FALSE),'Indicator Data'!Z126)</f>
        <v>408521</v>
      </c>
      <c r="W124" s="13">
        <f t="shared" si="25"/>
        <v>8.704047954422359</v>
      </c>
      <c r="X124" s="38">
        <f>IF('Indicator Data'!Z126="",V124/VLOOKUP($B124,'Indicator Data (national)'!$B$5:$AM$14,38,FALSE),V124/'Indicator Data'!AN126)</f>
        <v>0.51081534943100471</v>
      </c>
      <c r="Y124" s="13">
        <f t="shared" si="26"/>
        <v>10</v>
      </c>
      <c r="Z124" s="14">
        <f t="shared" si="27"/>
        <v>9.3520239772111786</v>
      </c>
      <c r="AA124" s="149">
        <f t="shared" si="28"/>
        <v>6.9159843280955098</v>
      </c>
      <c r="AB124" s="33">
        <f>VLOOKUP($B124,'Indicator Data (national)'!$B$5:$Z$14,25,FALSE)+VLOOKUP($B124,'Indicator Data (national)'!$B$5:$Z$14,24,FALSE)*0.5+VLOOKUP($B124,'Indicator Data (national)'!$B$5:$Z$14,23,FALSE)*0.25</f>
        <v>934292.25</v>
      </c>
      <c r="AC124" s="39">
        <f>AB124/VLOOKUP($B124,'Indicator Data (national)'!$B$5:$AM$14,38,FALSE)</f>
        <v>2.4609754488861196E-2</v>
      </c>
      <c r="AD124" s="49">
        <f t="shared" si="29"/>
        <v>2.4609754488861206</v>
      </c>
      <c r="AE124" s="13">
        <f>IF('Indicator Data'!V126="No data","x",IF(('Indicator Data'!V126)&gt;AE$150,10,IF(('Indicator Data'!V126)&lt;AE$149,0,10-(AE$150-('Indicator Data'!V126))/(AE$150-AE$149)*10)))</f>
        <v>10</v>
      </c>
      <c r="AF124" s="49">
        <f t="shared" si="30"/>
        <v>10</v>
      </c>
      <c r="AG124" s="34">
        <f t="shared" si="31"/>
        <v>8.0109075940953876</v>
      </c>
      <c r="AH124" s="52">
        <f t="shared" si="33"/>
        <v>8.7758320872568554</v>
      </c>
    </row>
    <row r="125" spans="1:34" s="11" customFormat="1" x14ac:dyDescent="0.25">
      <c r="A125" s="16" t="s">
        <v>532</v>
      </c>
      <c r="B125" s="11" t="s">
        <v>579</v>
      </c>
      <c r="C125" s="16" t="s">
        <v>533</v>
      </c>
      <c r="D125" s="13" t="str">
        <f>IF('Indicator Data'!I127="No data","x",IF('Indicator Data'!I127&gt;D$150,0,IF('Indicator Data'!I127&lt;D$149,10,(D$150-'Indicator Data'!I127)/(D$150-D$149)*10)))</f>
        <v>x</v>
      </c>
      <c r="E125" s="13" t="str">
        <f>IF('Indicator Data'!J127="No data","x",IF('Indicator Data'!J127&gt;E$150,10,IF('Indicator Data'!J127&lt;E$149,0,10-(E$150-'Indicator Data'!J127)/(E$150-E$149)*10)))</f>
        <v>x</v>
      </c>
      <c r="F125" s="144">
        <f>IF(OR('Indicator Data'!AG127=0,'Indicator Data'!AG127="No data"),"x",IF('Indicator Data'!AG127&gt;F$150,0,IF('Indicator Data'!AG127&lt;F$149,10,(F$150-'Indicator Data'!AG127)/(F$150-F$149)*10)))</f>
        <v>3.95</v>
      </c>
      <c r="G125" s="144" t="str">
        <f>IF(OR('Indicator Data'!AE127=0,'Indicator Data'!AE127="No data"),"x",IF('Indicator Data'!AE127&gt;G$150,0,IF('Indicator Data'!AE127&lt;G$149,10,(G$150-'Indicator Data'!AE127)/(G$150-G$149)*10)))</f>
        <v>x</v>
      </c>
      <c r="H125" s="144">
        <f>IF(OR('Indicator Data'!AF127=0,'Indicator Data'!AF127="No data"),"x",IF('Indicator Data'!AF127&gt;H$150,0,IF('Indicator Data'!AF127&lt;H$149,10,(H$150-'Indicator Data'!AF127)/(H$150-H$149)*10)))</f>
        <v>7.3</v>
      </c>
      <c r="I125" s="144">
        <f t="shared" si="32"/>
        <v>5.625</v>
      </c>
      <c r="J125" s="49">
        <f t="shared" si="19"/>
        <v>5.625</v>
      </c>
      <c r="K125" s="13">
        <f>IF('Indicator Data'!K127="No data","x",IF('Indicator Data'!K127&gt;K$150,10,IF('Indicator Data'!K127&lt;K$149,0,10-(K$150-'Indicator Data'!K127)/(K$150-K$149)*10)))</f>
        <v>8.3723549853435522</v>
      </c>
      <c r="L125" s="13">
        <f>IF('Indicator Data'!L127="No data","x",IF('Indicator Data'!L127&gt;L$150,10,IF('Indicator Data'!L127&lt;L$149,0,10-(L$150-'Indicator Data'!L127)/(L$150-L$149)*10)))</f>
        <v>2.5724999999999998</v>
      </c>
      <c r="M125" s="13" t="str">
        <f>IF('Indicator Data'!M127="No data","x",IF('Indicator Data'!M127&gt;M$150,10,IF('Indicator Data'!M127&lt;M$149,0,10-(M$150-'Indicator Data'!M127)/(M$150-M$149)*10)))</f>
        <v>x</v>
      </c>
      <c r="N125" s="144"/>
      <c r="O125" s="49">
        <f t="shared" si="20"/>
        <v>5.472427492671776</v>
      </c>
      <c r="P125" s="42">
        <f t="shared" si="21"/>
        <v>5.5741424975572587</v>
      </c>
      <c r="Q125" s="33">
        <f>'Indicator Data'!AA127</f>
        <v>8950</v>
      </c>
      <c r="R125" s="13">
        <f t="shared" si="22"/>
        <v>3.1727434510530408</v>
      </c>
      <c r="S125" s="38">
        <f>Q125/'Indicator Data'!AN127</f>
        <v>5.3690357211844753E-3</v>
      </c>
      <c r="T125" s="13">
        <f t="shared" si="23"/>
        <v>4.8282779884852527</v>
      </c>
      <c r="U125" s="14">
        <f t="shared" si="24"/>
        <v>4.0005107197691467</v>
      </c>
      <c r="V125" s="33">
        <f>IF('Indicator Data'!Z127="",VLOOKUP($B125,'Indicator Data (national)'!$B$5:$AA$14,26,FALSE),'Indicator Data'!Z127)</f>
        <v>218291</v>
      </c>
      <c r="W125" s="13">
        <f t="shared" si="25"/>
        <v>7.7967861013039155</v>
      </c>
      <c r="X125" s="38">
        <f>IF('Indicator Data'!Z127="",V125/VLOOKUP($B125,'Indicator Data (national)'!$B$5:$AM$14,38,FALSE),V125/'Indicator Data'!AN127)</f>
        <v>0.13095108118581902</v>
      </c>
      <c r="Y125" s="13">
        <f t="shared" si="26"/>
        <v>10</v>
      </c>
      <c r="Z125" s="14">
        <f t="shared" si="27"/>
        <v>8.8983930506519577</v>
      </c>
      <c r="AA125" s="149">
        <f t="shared" si="28"/>
        <v>6.4494518852105518</v>
      </c>
      <c r="AB125" s="33">
        <f>VLOOKUP($B125,'Indicator Data (national)'!$B$5:$Z$14,25,FALSE)+VLOOKUP($B125,'Indicator Data (national)'!$B$5:$Z$14,24,FALSE)*0.5+VLOOKUP($B125,'Indicator Data (national)'!$B$5:$Z$14,23,FALSE)*0.25</f>
        <v>934292.25</v>
      </c>
      <c r="AC125" s="39">
        <f>AB125/VLOOKUP($B125,'Indicator Data (national)'!$B$5:$AM$14,38,FALSE)</f>
        <v>2.4609754488861196E-2</v>
      </c>
      <c r="AD125" s="49">
        <f t="shared" si="29"/>
        <v>2.4609754488861206</v>
      </c>
      <c r="AE125" s="13">
        <f>IF('Indicator Data'!V127="No data","x",IF(('Indicator Data'!V127)&gt;AE$150,10,IF(('Indicator Data'!V127)&lt;AE$149,0,10-(AE$150-('Indicator Data'!V127))/(AE$150-AE$149)*10)))</f>
        <v>10</v>
      </c>
      <c r="AF125" s="49">
        <f t="shared" si="30"/>
        <v>10</v>
      </c>
      <c r="AG125" s="34">
        <f t="shared" si="31"/>
        <v>8.0109075940953876</v>
      </c>
      <c r="AH125" s="52">
        <f t="shared" si="33"/>
        <v>8.4919745523956855</v>
      </c>
    </row>
    <row r="126" spans="1:34" s="11" customFormat="1" x14ac:dyDescent="0.25">
      <c r="A126" s="16" t="s">
        <v>534</v>
      </c>
      <c r="B126" s="11" t="s">
        <v>579</v>
      </c>
      <c r="C126" s="16" t="s">
        <v>535</v>
      </c>
      <c r="D126" s="13">
        <f>IF('Indicator Data'!I128="No data","x",IF('Indicator Data'!I128&gt;D$150,0,IF('Indicator Data'!I128&lt;D$149,10,(D$150-'Indicator Data'!I128)/(D$150-D$149)*10)))</f>
        <v>6.4153846153846148</v>
      </c>
      <c r="E126" s="13" t="str">
        <f>IF('Indicator Data'!J128="No data","x",IF('Indicator Data'!J128&gt;E$150,10,IF('Indicator Data'!J128&lt;E$149,0,10-(E$150-'Indicator Data'!J128)/(E$150-E$149)*10)))</f>
        <v>x</v>
      </c>
      <c r="F126" s="144">
        <f>IF(OR('Indicator Data'!AG128=0,'Indicator Data'!AG128="No data"),"x",IF('Indicator Data'!AG128&gt;F$150,0,IF('Indicator Data'!AG128&lt;F$149,10,(F$150-'Indicator Data'!AG128)/(F$150-F$149)*10)))</f>
        <v>3.95</v>
      </c>
      <c r="G126" s="144" t="str">
        <f>IF(OR('Indicator Data'!AE128=0,'Indicator Data'!AE128="No data"),"x",IF('Indicator Data'!AE128&gt;G$150,0,IF('Indicator Data'!AE128&lt;G$149,10,(G$150-'Indicator Data'!AE128)/(G$150-G$149)*10)))</f>
        <v>x</v>
      </c>
      <c r="H126" s="144">
        <f>IF(OR('Indicator Data'!AF128=0,'Indicator Data'!AF128="No data"),"x",IF('Indicator Data'!AF128&gt;H$150,0,IF('Indicator Data'!AF128&lt;H$149,10,(H$150-'Indicator Data'!AF128)/(H$150-H$149)*10)))</f>
        <v>7.3</v>
      </c>
      <c r="I126" s="144">
        <f t="shared" si="32"/>
        <v>5.625</v>
      </c>
      <c r="J126" s="49">
        <f t="shared" si="19"/>
        <v>6.0355542645233431</v>
      </c>
      <c r="K126" s="13">
        <f>IF('Indicator Data'!K128="No data","x",IF('Indicator Data'!K128&gt;K$150,10,IF('Indicator Data'!K128&lt;K$149,0,10-(K$150-'Indicator Data'!K128)/(K$150-K$149)*10)))</f>
        <v>8.3723549853435522</v>
      </c>
      <c r="L126" s="13">
        <f>IF('Indicator Data'!L128="No data","x",IF('Indicator Data'!L128&gt;L$150,10,IF('Indicator Data'!L128&lt;L$149,0,10-(L$150-'Indicator Data'!L128)/(L$150-L$149)*10)))</f>
        <v>2.5724999999999998</v>
      </c>
      <c r="M126" s="13" t="str">
        <f>IF('Indicator Data'!M128="No data","x",IF('Indicator Data'!M128&gt;M$150,10,IF('Indicator Data'!M128&lt;M$149,0,10-(M$150-'Indicator Data'!M128)/(M$150-M$149)*10)))</f>
        <v>x</v>
      </c>
      <c r="N126" s="144"/>
      <c r="O126" s="49">
        <f t="shared" si="20"/>
        <v>5.472427492671776</v>
      </c>
      <c r="P126" s="42">
        <f t="shared" si="21"/>
        <v>5.847845340572821</v>
      </c>
      <c r="Q126" s="33">
        <f>'Indicator Data'!AA128</f>
        <v>22274</v>
      </c>
      <c r="R126" s="13">
        <f t="shared" si="22"/>
        <v>4.4926607177493985</v>
      </c>
      <c r="S126" s="38">
        <f>Q126/'Indicator Data'!AN128</f>
        <v>1.6558846575305805E-2</v>
      </c>
      <c r="T126" s="13">
        <f t="shared" si="23"/>
        <v>6.3742926364788088</v>
      </c>
      <c r="U126" s="14">
        <f t="shared" si="24"/>
        <v>5.4334766771141041</v>
      </c>
      <c r="V126" s="33">
        <f>IF('Indicator Data'!Z128="",VLOOKUP($B126,'Indicator Data (national)'!$B$5:$AA$14,26,FALSE),'Indicator Data'!Z128)</f>
        <v>0</v>
      </c>
      <c r="W126" s="13">
        <f t="shared" si="25"/>
        <v>0</v>
      </c>
      <c r="X126" s="38">
        <f>IF('Indicator Data'!Z128="",V126/VLOOKUP($B126,'Indicator Data (national)'!$B$5:$AM$14,38,FALSE),V126/'Indicator Data'!AN128)</f>
        <v>0</v>
      </c>
      <c r="Y126" s="13">
        <f t="shared" si="26"/>
        <v>0</v>
      </c>
      <c r="Z126" s="14">
        <f t="shared" si="27"/>
        <v>0</v>
      </c>
      <c r="AA126" s="149">
        <f t="shared" si="28"/>
        <v>2.716738338557052</v>
      </c>
      <c r="AB126" s="33">
        <f>VLOOKUP($B126,'Indicator Data (national)'!$B$5:$Z$14,25,FALSE)+VLOOKUP($B126,'Indicator Data (national)'!$B$5:$Z$14,24,FALSE)*0.5+VLOOKUP($B126,'Indicator Data (national)'!$B$5:$Z$14,23,FALSE)*0.25</f>
        <v>934292.25</v>
      </c>
      <c r="AC126" s="39">
        <f>AB126/VLOOKUP($B126,'Indicator Data (national)'!$B$5:$AM$14,38,FALSE)</f>
        <v>2.4609754488861196E-2</v>
      </c>
      <c r="AD126" s="49">
        <f t="shared" si="29"/>
        <v>2.4609754488861206</v>
      </c>
      <c r="AE126" s="13">
        <f>IF('Indicator Data'!V128="No data","x",IF(('Indicator Data'!V128)&gt;AE$150,10,IF(('Indicator Data'!V128)&lt;AE$149,0,10-(AE$150-('Indicator Data'!V128))/(AE$150-AE$149)*10)))</f>
        <v>6.3157894736842106</v>
      </c>
      <c r="AF126" s="49">
        <f t="shared" si="30"/>
        <v>6.3157894736842106</v>
      </c>
      <c r="AG126" s="34">
        <f t="shared" si="31"/>
        <v>4.6706000515952937</v>
      </c>
      <c r="AH126" s="52">
        <f t="shared" si="33"/>
        <v>2.6517237813678878</v>
      </c>
    </row>
    <row r="127" spans="1:34" s="11" customFormat="1" x14ac:dyDescent="0.25">
      <c r="A127" s="16" t="s">
        <v>536</v>
      </c>
      <c r="B127" s="11" t="s">
        <v>579</v>
      </c>
      <c r="C127" s="16" t="s">
        <v>537</v>
      </c>
      <c r="D127" s="13">
        <f>IF('Indicator Data'!I129="No data","x",IF('Indicator Data'!I129&gt;D$150,0,IF('Indicator Data'!I129&lt;D$149,10,(D$150-'Indicator Data'!I129)/(D$150-D$149)*10)))</f>
        <v>5.907692307692308</v>
      </c>
      <c r="E127" s="13" t="str">
        <f>IF('Indicator Data'!J129="No data","x",IF('Indicator Data'!J129&gt;E$150,10,IF('Indicator Data'!J129&lt;E$149,0,10-(E$150-'Indicator Data'!J129)/(E$150-E$149)*10)))</f>
        <v>x</v>
      </c>
      <c r="F127" s="144">
        <f>IF(OR('Indicator Data'!AG129=0,'Indicator Data'!AG129="No data"),"x",IF('Indicator Data'!AG129&gt;F$150,0,IF('Indicator Data'!AG129&lt;F$149,10,(F$150-'Indicator Data'!AG129)/(F$150-F$149)*10)))</f>
        <v>3.95</v>
      </c>
      <c r="G127" s="144" t="str">
        <f>IF(OR('Indicator Data'!AE129=0,'Indicator Data'!AE129="No data"),"x",IF('Indicator Data'!AE129&gt;G$150,0,IF('Indicator Data'!AE129&lt;G$149,10,(G$150-'Indicator Data'!AE129)/(G$150-G$149)*10)))</f>
        <v>x</v>
      </c>
      <c r="H127" s="144">
        <f>IF(OR('Indicator Data'!AF129=0,'Indicator Data'!AF129="No data"),"x",IF('Indicator Data'!AF129&gt;H$150,0,IF('Indicator Data'!AF129&lt;H$149,10,(H$150-'Indicator Data'!AF129)/(H$150-H$149)*10)))</f>
        <v>7.3</v>
      </c>
      <c r="I127" s="144">
        <f t="shared" si="32"/>
        <v>5.625</v>
      </c>
      <c r="J127" s="49">
        <f t="shared" si="19"/>
        <v>5.7682154810991992</v>
      </c>
      <c r="K127" s="13">
        <f>IF('Indicator Data'!K129="No data","x",IF('Indicator Data'!K129&gt;K$150,10,IF('Indicator Data'!K129&lt;K$149,0,10-(K$150-'Indicator Data'!K129)/(K$150-K$149)*10)))</f>
        <v>8.3723549853435522</v>
      </c>
      <c r="L127" s="13">
        <f>IF('Indicator Data'!L129="No data","x",IF('Indicator Data'!L129&gt;L$150,10,IF('Indicator Data'!L129&lt;L$149,0,10-(L$150-'Indicator Data'!L129)/(L$150-L$149)*10)))</f>
        <v>2.5724999999999998</v>
      </c>
      <c r="M127" s="13" t="str">
        <f>IF('Indicator Data'!M129="No data","x",IF('Indicator Data'!M129&gt;M$150,10,IF('Indicator Data'!M129&lt;M$149,0,10-(M$150-'Indicator Data'!M129)/(M$150-M$149)*10)))</f>
        <v>x</v>
      </c>
      <c r="N127" s="144"/>
      <c r="O127" s="49">
        <f t="shared" si="20"/>
        <v>5.472427492671776</v>
      </c>
      <c r="P127" s="42">
        <f t="shared" si="21"/>
        <v>5.6696194849567254</v>
      </c>
      <c r="Q127" s="33">
        <f>'Indicator Data'!AA129</f>
        <v>22274</v>
      </c>
      <c r="R127" s="13">
        <f t="shared" si="22"/>
        <v>4.4926607177493985</v>
      </c>
      <c r="S127" s="38">
        <f>Q127/'Indicator Data'!AN129</f>
        <v>1.0124292347236774E-2</v>
      </c>
      <c r="T127" s="13">
        <f t="shared" si="23"/>
        <v>5.6459062333359</v>
      </c>
      <c r="U127" s="14">
        <f t="shared" si="24"/>
        <v>5.0692834755426492</v>
      </c>
      <c r="V127" s="33">
        <f>IF('Indicator Data'!Z129="",VLOOKUP($B127,'Indicator Data (national)'!$B$5:$AA$14,26,FALSE),'Indicator Data'!Z129)</f>
        <v>0</v>
      </c>
      <c r="W127" s="13">
        <f t="shared" si="25"/>
        <v>0</v>
      </c>
      <c r="X127" s="38">
        <f>IF('Indicator Data'!Z129="",V127/VLOOKUP($B127,'Indicator Data (national)'!$B$5:$AM$14,38,FALSE),V127/'Indicator Data'!AN129)</f>
        <v>0</v>
      </c>
      <c r="Y127" s="13">
        <f t="shared" si="26"/>
        <v>0</v>
      </c>
      <c r="Z127" s="14">
        <f t="shared" si="27"/>
        <v>0</v>
      </c>
      <c r="AA127" s="149">
        <f t="shared" si="28"/>
        <v>2.5346417377713246</v>
      </c>
      <c r="AB127" s="33">
        <f>VLOOKUP($B127,'Indicator Data (national)'!$B$5:$Z$14,25,FALSE)+VLOOKUP($B127,'Indicator Data (national)'!$B$5:$Z$14,24,FALSE)*0.5+VLOOKUP($B127,'Indicator Data (national)'!$B$5:$Z$14,23,FALSE)*0.25</f>
        <v>934292.25</v>
      </c>
      <c r="AC127" s="39">
        <f>AB127/VLOOKUP($B127,'Indicator Data (national)'!$B$5:$AM$14,38,FALSE)</f>
        <v>2.4609754488861196E-2</v>
      </c>
      <c r="AD127" s="49">
        <f t="shared" si="29"/>
        <v>2.4609754488861206</v>
      </c>
      <c r="AE127" s="13">
        <f>IF('Indicator Data'!V129="No data","x",IF(('Indicator Data'!V129)&gt;AE$150,10,IF(('Indicator Data'!V129)&lt;AE$149,0,10-(AE$150-('Indicator Data'!V129))/(AE$150-AE$149)*10)))</f>
        <v>10</v>
      </c>
      <c r="AF127" s="49">
        <f t="shared" si="30"/>
        <v>10</v>
      </c>
      <c r="AG127" s="34">
        <f t="shared" si="31"/>
        <v>8.0109075940953876</v>
      </c>
      <c r="AH127" s="52">
        <f t="shared" si="33"/>
        <v>5.2419795105573153</v>
      </c>
    </row>
    <row r="128" spans="1:34" s="11" customFormat="1" x14ac:dyDescent="0.25">
      <c r="A128" s="16" t="s">
        <v>538</v>
      </c>
      <c r="B128" s="11" t="s">
        <v>579</v>
      </c>
      <c r="C128" s="16" t="s">
        <v>539</v>
      </c>
      <c r="D128" s="13">
        <f>IF('Indicator Data'!I130="No data","x",IF('Indicator Data'!I130&gt;D$150,0,IF('Indicator Data'!I130&lt;D$149,10,(D$150-'Indicator Data'!I130)/(D$150-D$149)*10)))</f>
        <v>3.7538461538461543</v>
      </c>
      <c r="E128" s="13" t="str">
        <f>IF('Indicator Data'!J130="No data","x",IF('Indicator Data'!J130&gt;E$150,10,IF('Indicator Data'!J130&lt;E$149,0,10-(E$150-'Indicator Data'!J130)/(E$150-E$149)*10)))</f>
        <v>x</v>
      </c>
      <c r="F128" s="144">
        <f>IF(OR('Indicator Data'!AG130=0,'Indicator Data'!AG130="No data"),"x",IF('Indicator Data'!AG130&gt;F$150,0,IF('Indicator Data'!AG130&lt;F$149,10,(F$150-'Indicator Data'!AG130)/(F$150-F$149)*10)))</f>
        <v>3.95</v>
      </c>
      <c r="G128" s="144" t="str">
        <f>IF(OR('Indicator Data'!AE130=0,'Indicator Data'!AE130="No data"),"x",IF('Indicator Data'!AE130&gt;G$150,0,IF('Indicator Data'!AE130&lt;G$149,10,(G$150-'Indicator Data'!AE130)/(G$150-G$149)*10)))</f>
        <v>x</v>
      </c>
      <c r="H128" s="144">
        <f>IF(OR('Indicator Data'!AF130=0,'Indicator Data'!AF130="No data"),"x",IF('Indicator Data'!AF130&gt;H$150,0,IF('Indicator Data'!AF130&lt;H$149,10,(H$150-'Indicator Data'!AF130)/(H$150-H$149)*10)))</f>
        <v>7.3</v>
      </c>
      <c r="I128" s="144">
        <f t="shared" si="32"/>
        <v>5.625</v>
      </c>
      <c r="J128" s="49">
        <f t="shared" si="19"/>
        <v>4.7579407978391854</v>
      </c>
      <c r="K128" s="13">
        <f>IF('Indicator Data'!K130="No data","x",IF('Indicator Data'!K130&gt;K$150,10,IF('Indicator Data'!K130&lt;K$149,0,10-(K$150-'Indicator Data'!K130)/(K$150-K$149)*10)))</f>
        <v>8.3723549853435522</v>
      </c>
      <c r="L128" s="13">
        <f>IF('Indicator Data'!L130="No data","x",IF('Indicator Data'!L130&gt;L$150,10,IF('Indicator Data'!L130&lt;L$149,0,10-(L$150-'Indicator Data'!L130)/(L$150-L$149)*10)))</f>
        <v>2.5724999999999998</v>
      </c>
      <c r="M128" s="13" t="str">
        <f>IF('Indicator Data'!M130="No data","x",IF('Indicator Data'!M130&gt;M$150,10,IF('Indicator Data'!M130&lt;M$149,0,10-(M$150-'Indicator Data'!M130)/(M$150-M$149)*10)))</f>
        <v>x</v>
      </c>
      <c r="N128" s="144"/>
      <c r="O128" s="49">
        <f t="shared" si="20"/>
        <v>5.472427492671776</v>
      </c>
      <c r="P128" s="42">
        <f t="shared" si="21"/>
        <v>4.9961030294500484</v>
      </c>
      <c r="Q128" s="33">
        <f>'Indicator Data'!AA130</f>
        <v>63222</v>
      </c>
      <c r="R128" s="13">
        <f t="shared" si="22"/>
        <v>6.0028941014489119</v>
      </c>
      <c r="S128" s="38">
        <f>Q128/'Indicator Data'!AN130</f>
        <v>1.0809773832899383E-2</v>
      </c>
      <c r="T128" s="13">
        <f t="shared" si="23"/>
        <v>5.7378743282934703</v>
      </c>
      <c r="U128" s="14">
        <f t="shared" si="24"/>
        <v>5.8703842148711907</v>
      </c>
      <c r="V128" s="33">
        <f>IF('Indicator Data'!Z130="",VLOOKUP($B128,'Indicator Data (national)'!$B$5:$AA$14,26,FALSE),'Indicator Data'!Z130)</f>
        <v>10475</v>
      </c>
      <c r="W128" s="13">
        <f t="shared" si="25"/>
        <v>3.4005134387944427</v>
      </c>
      <c r="X128" s="38">
        <f>IF('Indicator Data'!Z130="",V128/VLOOKUP($B128,'Indicator Data (national)'!$B$5:$AM$14,38,FALSE),V128/'Indicator Data'!AN130)</f>
        <v>1.791028137351255E-3</v>
      </c>
      <c r="Y128" s="13">
        <f t="shared" si="26"/>
        <v>3.6829518755750335</v>
      </c>
      <c r="Z128" s="14">
        <f t="shared" si="27"/>
        <v>3.5417326571847383</v>
      </c>
      <c r="AA128" s="149">
        <f t="shared" si="28"/>
        <v>4.7060584360279645</v>
      </c>
      <c r="AB128" s="33">
        <f>VLOOKUP($B128,'Indicator Data (national)'!$B$5:$Z$14,25,FALSE)+VLOOKUP($B128,'Indicator Data (national)'!$B$5:$Z$14,24,FALSE)*0.5+VLOOKUP($B128,'Indicator Data (national)'!$B$5:$Z$14,23,FALSE)*0.25</f>
        <v>934292.25</v>
      </c>
      <c r="AC128" s="39">
        <f>AB128/VLOOKUP($B128,'Indicator Data (national)'!$B$5:$AM$14,38,FALSE)</f>
        <v>2.4609754488861196E-2</v>
      </c>
      <c r="AD128" s="49">
        <f t="shared" si="29"/>
        <v>2.4609754488861206</v>
      </c>
      <c r="AE128" s="13">
        <f>IF('Indicator Data'!V130="No data","x",IF(('Indicator Data'!V130)&gt;AE$150,10,IF(('Indicator Data'!V130)&lt;AE$149,0,10-(AE$150-('Indicator Data'!V130))/(AE$150-AE$149)*10)))</f>
        <v>0</v>
      </c>
      <c r="AF128" s="49">
        <f t="shared" si="30"/>
        <v>0</v>
      </c>
      <c r="AG128" s="34">
        <f t="shared" si="31"/>
        <v>1.3074067872768502</v>
      </c>
      <c r="AH128" s="52">
        <f t="shared" si="33"/>
        <v>2.4967075753173615</v>
      </c>
    </row>
    <row r="129" spans="1:34" s="11" customFormat="1" x14ac:dyDescent="0.25">
      <c r="A129" s="16" t="s">
        <v>540</v>
      </c>
      <c r="B129" s="11" t="s">
        <v>579</v>
      </c>
      <c r="C129" s="16" t="s">
        <v>541</v>
      </c>
      <c r="D129" s="13">
        <f>IF('Indicator Data'!I131="No data","x",IF('Indicator Data'!I131&gt;D$150,0,IF('Indicator Data'!I131&lt;D$149,10,(D$150-'Indicator Data'!I131)/(D$150-D$149)*10)))</f>
        <v>6.184615384615384</v>
      </c>
      <c r="E129" s="13" t="str">
        <f>IF('Indicator Data'!J131="No data","x",IF('Indicator Data'!J131&gt;E$150,10,IF('Indicator Data'!J131&lt;E$149,0,10-(E$150-'Indicator Data'!J131)/(E$150-E$149)*10)))</f>
        <v>x</v>
      </c>
      <c r="F129" s="144">
        <f>IF(OR('Indicator Data'!AG131=0,'Indicator Data'!AG131="No data"),"x",IF('Indicator Data'!AG131&gt;F$150,0,IF('Indicator Data'!AG131&lt;F$149,10,(F$150-'Indicator Data'!AG131)/(F$150-F$149)*10)))</f>
        <v>3.95</v>
      </c>
      <c r="G129" s="144" t="str">
        <f>IF(OR('Indicator Data'!AE131=0,'Indicator Data'!AE131="No data"),"x",IF('Indicator Data'!AE131&gt;G$150,0,IF('Indicator Data'!AE131&lt;G$149,10,(G$150-'Indicator Data'!AE131)/(G$150-G$149)*10)))</f>
        <v>x</v>
      </c>
      <c r="H129" s="144">
        <f>IF(OR('Indicator Data'!AF131=0,'Indicator Data'!AF131="No data"),"x",IF('Indicator Data'!AF131&gt;H$150,0,IF('Indicator Data'!AF131&lt;H$149,10,(H$150-'Indicator Data'!AF131)/(H$150-H$149)*10)))</f>
        <v>7.3</v>
      </c>
      <c r="I129" s="144">
        <f t="shared" si="32"/>
        <v>5.625</v>
      </c>
      <c r="J129" s="49">
        <f t="shared" si="19"/>
        <v>5.9123321252366772</v>
      </c>
      <c r="K129" s="13">
        <f>IF('Indicator Data'!K131="No data","x",IF('Indicator Data'!K131&gt;K$150,10,IF('Indicator Data'!K131&lt;K$149,0,10-(K$150-'Indicator Data'!K131)/(K$150-K$149)*10)))</f>
        <v>8.3723549853435522</v>
      </c>
      <c r="L129" s="13">
        <f>IF('Indicator Data'!L131="No data","x",IF('Indicator Data'!L131&gt;L$150,10,IF('Indicator Data'!L131&lt;L$149,0,10-(L$150-'Indicator Data'!L131)/(L$150-L$149)*10)))</f>
        <v>2.5724999999999998</v>
      </c>
      <c r="M129" s="13" t="str">
        <f>IF('Indicator Data'!M131="No data","x",IF('Indicator Data'!M131&gt;M$150,10,IF('Indicator Data'!M131&lt;M$149,0,10-(M$150-'Indicator Data'!M131)/(M$150-M$149)*10)))</f>
        <v>x</v>
      </c>
      <c r="N129" s="144"/>
      <c r="O129" s="49">
        <f t="shared" si="20"/>
        <v>5.472427492671776</v>
      </c>
      <c r="P129" s="42">
        <f t="shared" si="21"/>
        <v>5.7656972477150434</v>
      </c>
      <c r="Q129" s="33">
        <f>'Indicator Data'!AA131</f>
        <v>8950</v>
      </c>
      <c r="R129" s="13">
        <f t="shared" si="22"/>
        <v>3.1727434510530408</v>
      </c>
      <c r="S129" s="38">
        <f>Q129/'Indicator Data'!AN131</f>
        <v>3.7369863105214327E-3</v>
      </c>
      <c r="T129" s="13">
        <f t="shared" si="23"/>
        <v>4.4154749201112846</v>
      </c>
      <c r="U129" s="14">
        <f t="shared" si="24"/>
        <v>3.7941091855821627</v>
      </c>
      <c r="V129" s="33">
        <f>IF('Indicator Data'!Z131="",VLOOKUP($B129,'Indicator Data (national)'!$B$5:$AA$14,26,FALSE),'Indicator Data'!Z131)</f>
        <v>701433</v>
      </c>
      <c r="W129" s="13">
        <f t="shared" si="25"/>
        <v>9.4866206469383663</v>
      </c>
      <c r="X129" s="38">
        <f>IF('Indicator Data'!Z131="",V129/VLOOKUP($B129,'Indicator Data (national)'!$B$5:$AM$14,38,FALSE),V129/'Indicator Data'!AN131)</f>
        <v>0.29287659427351731</v>
      </c>
      <c r="Y129" s="13">
        <f t="shared" si="26"/>
        <v>10</v>
      </c>
      <c r="Z129" s="14">
        <f t="shared" si="27"/>
        <v>9.7433103234691831</v>
      </c>
      <c r="AA129" s="149">
        <f t="shared" si="28"/>
        <v>6.7687097545256734</v>
      </c>
      <c r="AB129" s="33">
        <f>VLOOKUP($B129,'Indicator Data (national)'!$B$5:$Z$14,25,FALSE)+VLOOKUP($B129,'Indicator Data (national)'!$B$5:$Z$14,24,FALSE)*0.5+VLOOKUP($B129,'Indicator Data (national)'!$B$5:$Z$14,23,FALSE)*0.25</f>
        <v>934292.25</v>
      </c>
      <c r="AC129" s="39">
        <f>AB129/VLOOKUP($B129,'Indicator Data (national)'!$B$5:$AM$14,38,FALSE)</f>
        <v>2.4609754488861196E-2</v>
      </c>
      <c r="AD129" s="49">
        <f t="shared" si="29"/>
        <v>2.4609754488861206</v>
      </c>
      <c r="AE129" s="13">
        <f>IF('Indicator Data'!V131="No data","x",IF(('Indicator Data'!V131)&gt;AE$150,10,IF(('Indicator Data'!V131)&lt;AE$149,0,10-(AE$150-('Indicator Data'!V131))/(AE$150-AE$149)*10)))</f>
        <v>10</v>
      </c>
      <c r="AF129" s="49">
        <f t="shared" si="30"/>
        <v>10</v>
      </c>
      <c r="AG129" s="34">
        <f t="shared" si="31"/>
        <v>8.0109075940953876</v>
      </c>
      <c r="AH129" s="52">
        <f t="shared" si="33"/>
        <v>9.0518731908055479</v>
      </c>
    </row>
    <row r="130" spans="1:34" s="11" customFormat="1" x14ac:dyDescent="0.25">
      <c r="A130" s="16" t="s">
        <v>542</v>
      </c>
      <c r="B130" s="11" t="s">
        <v>579</v>
      </c>
      <c r="C130" s="16" t="s">
        <v>543</v>
      </c>
      <c r="D130" s="13">
        <f>IF('Indicator Data'!I132="No data","x",IF('Indicator Data'!I132&gt;D$150,0,IF('Indicator Data'!I132&lt;D$149,10,(D$150-'Indicator Data'!I132)/(D$150-D$149)*10)))</f>
        <v>5.7076923076923078</v>
      </c>
      <c r="E130" s="13" t="str">
        <f>IF('Indicator Data'!J132="No data","x",IF('Indicator Data'!J132&gt;E$150,10,IF('Indicator Data'!J132&lt;E$149,0,10-(E$150-'Indicator Data'!J132)/(E$150-E$149)*10)))</f>
        <v>x</v>
      </c>
      <c r="F130" s="144">
        <f>IF(OR('Indicator Data'!AG132=0,'Indicator Data'!AG132="No data"),"x",IF('Indicator Data'!AG132&gt;F$150,0,IF('Indicator Data'!AG132&lt;F$149,10,(F$150-'Indicator Data'!AG132)/(F$150-F$149)*10)))</f>
        <v>3.95</v>
      </c>
      <c r="G130" s="144" t="str">
        <f>IF(OR('Indicator Data'!AE132=0,'Indicator Data'!AE132="No data"),"x",IF('Indicator Data'!AE132&gt;G$150,0,IF('Indicator Data'!AE132&lt;G$149,10,(G$150-'Indicator Data'!AE132)/(G$150-G$149)*10)))</f>
        <v>x</v>
      </c>
      <c r="H130" s="144">
        <f>IF(OR('Indicator Data'!AF132=0,'Indicator Data'!AF132="No data"),"x",IF('Indicator Data'!AF132&gt;H$150,0,IF('Indicator Data'!AF132&lt;H$149,10,(H$150-'Indicator Data'!AF132)/(H$150-H$149)*10)))</f>
        <v>7.3</v>
      </c>
      <c r="I130" s="144">
        <f t="shared" si="32"/>
        <v>5.625</v>
      </c>
      <c r="J130" s="49">
        <f t="shared" si="19"/>
        <v>5.6665031421731635</v>
      </c>
      <c r="K130" s="13">
        <f>IF('Indicator Data'!K132="No data","x",IF('Indicator Data'!K132&gt;K$150,10,IF('Indicator Data'!K132&lt;K$149,0,10-(K$150-'Indicator Data'!K132)/(K$150-K$149)*10)))</f>
        <v>8.3723549853435522</v>
      </c>
      <c r="L130" s="13">
        <f>IF('Indicator Data'!L132="No data","x",IF('Indicator Data'!L132&gt;L$150,10,IF('Indicator Data'!L132&lt;L$149,0,10-(L$150-'Indicator Data'!L132)/(L$150-L$149)*10)))</f>
        <v>2.5724999999999998</v>
      </c>
      <c r="M130" s="13" t="str">
        <f>IF('Indicator Data'!M132="No data","x",IF('Indicator Data'!M132&gt;M$150,10,IF('Indicator Data'!M132&lt;M$149,0,10-(M$150-'Indicator Data'!M132)/(M$150-M$149)*10)))</f>
        <v>x</v>
      </c>
      <c r="N130" s="144"/>
      <c r="O130" s="49">
        <f t="shared" si="20"/>
        <v>5.472427492671776</v>
      </c>
      <c r="P130" s="42">
        <f t="shared" si="21"/>
        <v>5.601811259006034</v>
      </c>
      <c r="Q130" s="33">
        <f>'Indicator Data'!AA132</f>
        <v>3859</v>
      </c>
      <c r="R130" s="13">
        <f t="shared" si="22"/>
        <v>1.9549159285713227</v>
      </c>
      <c r="S130" s="38">
        <f>Q130/'Indicator Data'!AN132</f>
        <v>1.1770321647906032E-3</v>
      </c>
      <c r="T130" s="13">
        <f t="shared" si="23"/>
        <v>3.3207041463888842</v>
      </c>
      <c r="U130" s="14">
        <f t="shared" si="24"/>
        <v>2.6378100374801035</v>
      </c>
      <c r="V130" s="33">
        <f>IF('Indicator Data'!Z132="",VLOOKUP($B130,'Indicator Data (national)'!$B$5:$AA$14,26,FALSE),'Indicator Data'!Z132)</f>
        <v>44665</v>
      </c>
      <c r="W130" s="13">
        <f t="shared" si="25"/>
        <v>5.4998911277494118</v>
      </c>
      <c r="X130" s="38">
        <f>IF('Indicator Data'!Z132="",V130/VLOOKUP($B130,'Indicator Data (national)'!$B$5:$AM$14,38,FALSE),V130/'Indicator Data'!AN132)</f>
        <v>1.3623255154281496E-2</v>
      </c>
      <c r="Y130" s="13">
        <f t="shared" si="26"/>
        <v>6.0747651984171691</v>
      </c>
      <c r="Z130" s="14">
        <f t="shared" si="27"/>
        <v>5.7873281630832905</v>
      </c>
      <c r="AA130" s="149">
        <f t="shared" si="28"/>
        <v>4.212569100281697</v>
      </c>
      <c r="AB130" s="33">
        <f>VLOOKUP($B130,'Indicator Data (national)'!$B$5:$Z$14,25,FALSE)+VLOOKUP($B130,'Indicator Data (national)'!$B$5:$Z$14,24,FALSE)*0.5+VLOOKUP($B130,'Indicator Data (national)'!$B$5:$Z$14,23,FALSE)*0.25</f>
        <v>934292.25</v>
      </c>
      <c r="AC130" s="39">
        <f>AB130/VLOOKUP($B130,'Indicator Data (national)'!$B$5:$AM$14,38,FALSE)</f>
        <v>2.4609754488861196E-2</v>
      </c>
      <c r="AD130" s="49">
        <f t="shared" si="29"/>
        <v>2.4609754488861206</v>
      </c>
      <c r="AE130" s="13">
        <f>IF('Indicator Data'!V132="No data","x",IF(('Indicator Data'!V132)&gt;AE$150,10,IF(('Indicator Data'!V132)&lt;AE$149,0,10-(AE$150-('Indicator Data'!V132))/(AE$150-AE$149)*10)))</f>
        <v>3.6842105263157894</v>
      </c>
      <c r="AF130" s="49">
        <f t="shared" si="30"/>
        <v>3.6842105263157894</v>
      </c>
      <c r="AG130" s="34">
        <f t="shared" si="31"/>
        <v>3.0958944822022172</v>
      </c>
      <c r="AH130" s="52">
        <f t="shared" si="33"/>
        <v>4.5787858272834452</v>
      </c>
    </row>
    <row r="131" spans="1:34" s="11" customFormat="1" x14ac:dyDescent="0.25">
      <c r="A131" s="16" t="s">
        <v>544</v>
      </c>
      <c r="B131" s="11" t="s">
        <v>579</v>
      </c>
      <c r="C131" s="16" t="s">
        <v>545</v>
      </c>
      <c r="D131" s="13">
        <f>IF('Indicator Data'!I133="No data","x",IF('Indicator Data'!I133&gt;D$150,0,IF('Indicator Data'!I133&lt;D$149,10,(D$150-'Indicator Data'!I133)/(D$150-D$149)*10)))</f>
        <v>5.2</v>
      </c>
      <c r="E131" s="13" t="str">
        <f>IF('Indicator Data'!J133="No data","x",IF('Indicator Data'!J133&gt;E$150,10,IF('Indicator Data'!J133&lt;E$149,0,10-(E$150-'Indicator Data'!J133)/(E$150-E$149)*10)))</f>
        <v>x</v>
      </c>
      <c r="F131" s="144">
        <f>IF(OR('Indicator Data'!AG133=0,'Indicator Data'!AG133="No data"),"x",IF('Indicator Data'!AG133&gt;F$150,0,IF('Indicator Data'!AG133&lt;F$149,10,(F$150-'Indicator Data'!AG133)/(F$150-F$149)*10)))</f>
        <v>3.95</v>
      </c>
      <c r="G131" s="144" t="str">
        <f>IF(OR('Indicator Data'!AE133=0,'Indicator Data'!AE133="No data"),"x",IF('Indicator Data'!AE133&gt;G$150,0,IF('Indicator Data'!AE133&lt;G$149,10,(G$150-'Indicator Data'!AE133)/(G$150-G$149)*10)))</f>
        <v>x</v>
      </c>
      <c r="H131" s="144">
        <f>IF(OR('Indicator Data'!AF133=0,'Indicator Data'!AF133="No data"),"x",IF('Indicator Data'!AF133&gt;H$150,0,IF('Indicator Data'!AF133&lt;H$149,10,(H$150-'Indicator Data'!AF133)/(H$150-H$149)*10)))</f>
        <v>7.3</v>
      </c>
      <c r="I131" s="144">
        <f t="shared" ref="I131:I148" si="34">AVERAGE(F131:H131)</f>
        <v>5.625</v>
      </c>
      <c r="J131" s="49">
        <f t="shared" si="19"/>
        <v>5.4164634182613591</v>
      </c>
      <c r="K131" s="13">
        <f>IF('Indicator Data'!K133="No data","x",IF('Indicator Data'!K133&gt;K$150,10,IF('Indicator Data'!K133&lt;K$149,0,10-(K$150-'Indicator Data'!K133)/(K$150-K$149)*10)))</f>
        <v>8.3723549853435522</v>
      </c>
      <c r="L131" s="13">
        <f>IF('Indicator Data'!L133="No data","x",IF('Indicator Data'!L133&gt;L$150,10,IF('Indicator Data'!L133&lt;L$149,0,10-(L$150-'Indicator Data'!L133)/(L$150-L$149)*10)))</f>
        <v>2.5724999999999998</v>
      </c>
      <c r="M131" s="13" t="str">
        <f>IF('Indicator Data'!M133="No data","x",IF('Indicator Data'!M133&gt;M$150,10,IF('Indicator Data'!M133&lt;M$149,0,10-(M$150-'Indicator Data'!M133)/(M$150-M$149)*10)))</f>
        <v>x</v>
      </c>
      <c r="N131" s="144"/>
      <c r="O131" s="49">
        <f t="shared" si="20"/>
        <v>5.472427492671776</v>
      </c>
      <c r="P131" s="42">
        <f t="shared" si="21"/>
        <v>5.4351181097314978</v>
      </c>
      <c r="Q131" s="33">
        <f>'Indicator Data'!AA133</f>
        <v>0</v>
      </c>
      <c r="R131" s="13">
        <f t="shared" si="22"/>
        <v>0</v>
      </c>
      <c r="S131" s="38">
        <f>Q131/'Indicator Data'!AN133</f>
        <v>0</v>
      </c>
      <c r="T131" s="13">
        <f t="shared" si="23"/>
        <v>0</v>
      </c>
      <c r="U131" s="14">
        <f t="shared" si="24"/>
        <v>0</v>
      </c>
      <c r="V131" s="33">
        <f>IF('Indicator Data'!Z133="",VLOOKUP($B131,'Indicator Data (national)'!$B$5:$AA$14,26,FALSE),'Indicator Data'!Z133)</f>
        <v>0</v>
      </c>
      <c r="W131" s="13">
        <f t="shared" si="25"/>
        <v>0</v>
      </c>
      <c r="X131" s="38">
        <f>IF('Indicator Data'!Z133="",V131/VLOOKUP($B131,'Indicator Data (national)'!$B$5:$AM$14,38,FALSE),V131/'Indicator Data'!AN133)</f>
        <v>0</v>
      </c>
      <c r="Y131" s="13">
        <f t="shared" si="26"/>
        <v>0</v>
      </c>
      <c r="Z131" s="14">
        <f t="shared" si="27"/>
        <v>0</v>
      </c>
      <c r="AA131" s="149">
        <f t="shared" si="28"/>
        <v>0</v>
      </c>
      <c r="AB131" s="33">
        <f>VLOOKUP($B131,'Indicator Data (national)'!$B$5:$Z$14,25,FALSE)+VLOOKUP($B131,'Indicator Data (national)'!$B$5:$Z$14,24,FALSE)*0.5+VLOOKUP($B131,'Indicator Data (national)'!$B$5:$Z$14,23,FALSE)*0.25</f>
        <v>934292.25</v>
      </c>
      <c r="AC131" s="39">
        <f>AB131/VLOOKUP($B131,'Indicator Data (national)'!$B$5:$AM$14,38,FALSE)</f>
        <v>2.4609754488861196E-2</v>
      </c>
      <c r="AD131" s="49">
        <f t="shared" si="29"/>
        <v>2.4609754488861206</v>
      </c>
      <c r="AE131" s="13">
        <f>IF('Indicator Data'!V133="No data","x",IF(('Indicator Data'!V133)&gt;AE$150,10,IF(('Indicator Data'!V133)&lt;AE$149,0,10-(AE$150-('Indicator Data'!V133))/(AE$150-AE$149)*10)))</f>
        <v>0</v>
      </c>
      <c r="AF131" s="49">
        <f t="shared" si="30"/>
        <v>0</v>
      </c>
      <c r="AG131" s="34">
        <f t="shared" si="31"/>
        <v>1.3074067872768502</v>
      </c>
      <c r="AH131" s="52">
        <f t="shared" ref="AH131:AH148" si="35">(10-GEOMEAN(((10-Z131)/10*9+1),((10-AG131)/10*9+1)))/9*10</f>
        <v>0.67415523103750985</v>
      </c>
    </row>
    <row r="132" spans="1:34" s="11" customFormat="1" x14ac:dyDescent="0.25">
      <c r="A132" s="16" t="s">
        <v>546</v>
      </c>
      <c r="B132" s="11" t="s">
        <v>579</v>
      </c>
      <c r="C132" s="16" t="s">
        <v>547</v>
      </c>
      <c r="D132" s="13">
        <f>IF('Indicator Data'!I134="No data","x",IF('Indicator Data'!I134&gt;D$150,0,IF('Indicator Data'!I134&lt;D$149,10,(D$150-'Indicator Data'!I134)/(D$150-D$149)*10)))</f>
        <v>5.9538461538461549</v>
      </c>
      <c r="E132" s="13" t="str">
        <f>IF('Indicator Data'!J134="No data","x",IF('Indicator Data'!J134&gt;E$150,10,IF('Indicator Data'!J134&lt;E$149,0,10-(E$150-'Indicator Data'!J134)/(E$150-E$149)*10)))</f>
        <v>x</v>
      </c>
      <c r="F132" s="144">
        <f>IF(OR('Indicator Data'!AG134=0,'Indicator Data'!AG134="No data"),"x",IF('Indicator Data'!AG134&gt;F$150,0,IF('Indicator Data'!AG134&lt;F$149,10,(F$150-'Indicator Data'!AG134)/(F$150-F$149)*10)))</f>
        <v>3.95</v>
      </c>
      <c r="G132" s="144" t="str">
        <f>IF(OR('Indicator Data'!AE134=0,'Indicator Data'!AE134="No data"),"x",IF('Indicator Data'!AE134&gt;G$150,0,IF('Indicator Data'!AE134&lt;G$149,10,(G$150-'Indicator Data'!AE134)/(G$150-G$149)*10)))</f>
        <v>x</v>
      </c>
      <c r="H132" s="144">
        <f>IF(OR('Indicator Data'!AF134=0,'Indicator Data'!AF134="No data"),"x",IF('Indicator Data'!AF134&gt;H$150,0,IF('Indicator Data'!AF134&lt;H$149,10,(H$150-'Indicator Data'!AF134)/(H$150-H$149)*10)))</f>
        <v>7.3</v>
      </c>
      <c r="I132" s="144">
        <f t="shared" si="34"/>
        <v>5.625</v>
      </c>
      <c r="J132" s="49">
        <f t="shared" ref="J132:J148" si="36">IF(AND(D132="x",E132="x"),I132,IF(E132="x",(10-GEOMEAN(((10-D132)/10*9+1),((10-I132)/10*9+1)))/9*10,(10-GEOMEAN(((10-D132)/10*9+1),((10-E132)/10*9+1)))/9*10))</f>
        <v>5.7919637560366866</v>
      </c>
      <c r="K132" s="13">
        <f>IF('Indicator Data'!K134="No data","x",IF('Indicator Data'!K134&gt;K$150,10,IF('Indicator Data'!K134&lt;K$149,0,10-(K$150-'Indicator Data'!K134)/(K$150-K$149)*10)))</f>
        <v>8.3723549853435522</v>
      </c>
      <c r="L132" s="13">
        <f>IF('Indicator Data'!L134="No data","x",IF('Indicator Data'!L134&gt;L$150,10,IF('Indicator Data'!L134&lt;L$149,0,10-(L$150-'Indicator Data'!L134)/(L$150-L$149)*10)))</f>
        <v>2.5724999999999998</v>
      </c>
      <c r="M132" s="13" t="str">
        <f>IF('Indicator Data'!M134="No data","x",IF('Indicator Data'!M134&gt;M$150,10,IF('Indicator Data'!M134&lt;M$149,0,10-(M$150-'Indicator Data'!M134)/(M$150-M$149)*10)))</f>
        <v>x</v>
      </c>
      <c r="N132" s="144"/>
      <c r="O132" s="49">
        <f t="shared" ref="O132:O148" si="37">IF(AND(K132="x",L132="x",M132="x",N132="x"),"x",AVERAGE(K132,L132,M132,N132))</f>
        <v>5.472427492671776</v>
      </c>
      <c r="P132" s="42">
        <f t="shared" ref="P132:P148" si="38">AVERAGE(J132,J132,O132)</f>
        <v>5.6854516682483833</v>
      </c>
      <c r="Q132" s="33">
        <f>'Indicator Data'!AA134</f>
        <v>0</v>
      </c>
      <c r="R132" s="13">
        <f t="shared" ref="R132:R148" si="39">IF(Q132=0,0,IF(LOG(Q132)&gt;$R$150,10,IF(LOG(Q132)&lt;R$149,0,10-(R$150-LOG(Q132))/(R$150-R$149)*10)))</f>
        <v>0</v>
      </c>
      <c r="S132" s="38">
        <f>Q132/'Indicator Data'!AN134</f>
        <v>0</v>
      </c>
      <c r="T132" s="13">
        <f t="shared" ref="T132:T148" si="40">IF(S132="x","x",IF(S132&gt;$T$150,10,IF(S132&lt;$T$149,0,((S132*100)/0.0052)^(1/4.0545)/6.5*10)))</f>
        <v>0</v>
      </c>
      <c r="U132" s="14">
        <f t="shared" ref="U132:U148" si="41">AVERAGE(R132,T132)</f>
        <v>0</v>
      </c>
      <c r="V132" s="33">
        <f>IF('Indicator Data'!Z134="",VLOOKUP($B132,'Indicator Data (national)'!$B$5:$AA$14,26,FALSE),'Indicator Data'!Z134)</f>
        <v>0</v>
      </c>
      <c r="W132" s="13">
        <f t="shared" ref="W132:W148" si="42">IF(V132=0,0,IF(LOG(V132)&gt;$R$150,10,IF(LOG(V132)&lt;W$149,0,10-(W$150-LOG(V132))/(W$150-W$149)*10)))</f>
        <v>0</v>
      </c>
      <c r="X132" s="38">
        <f>IF('Indicator Data'!Z134="",V132/VLOOKUP($B132,'Indicator Data (national)'!$B$5:$AM$14,38,FALSE),V132/'Indicator Data'!AN134)</f>
        <v>0</v>
      </c>
      <c r="Y132" s="13">
        <f t="shared" ref="Y132:Y148" si="43">IF(X132="x","x",IF(X132&gt;$T$150,10,IF(X132&lt;$T$149,0,((X132*100)/0.0052)^(1/4.0545)/6.5*10)))</f>
        <v>0</v>
      </c>
      <c r="Z132" s="14">
        <f t="shared" ref="Z132:Z148" si="44">AVERAGE(W132,Y132)</f>
        <v>0</v>
      </c>
      <c r="AA132" s="149">
        <f t="shared" ref="AA132:AA148" si="45">AVERAGE(U132,Z132)</f>
        <v>0</v>
      </c>
      <c r="AB132" s="33">
        <f>VLOOKUP($B132,'Indicator Data (national)'!$B$5:$Z$14,25,FALSE)+VLOOKUP($B132,'Indicator Data (national)'!$B$5:$Z$14,24,FALSE)*0.5+VLOOKUP($B132,'Indicator Data (national)'!$B$5:$Z$14,23,FALSE)*0.25</f>
        <v>934292.25</v>
      </c>
      <c r="AC132" s="39">
        <f>AB132/VLOOKUP($B132,'Indicator Data (national)'!$B$5:$AM$14,38,FALSE)</f>
        <v>2.4609754488861196E-2</v>
      </c>
      <c r="AD132" s="49">
        <f t="shared" ref="AD132:AD148" si="46">IF(AC132="x","x",IF(AC132&gt;AD$150,10,IF(AC132&lt;AD$149,0,10-(AD$150-AC132)/(AD$150-AD$149)*10)))</f>
        <v>2.4609754488861206</v>
      </c>
      <c r="AE132" s="13">
        <f>IF('Indicator Data'!V134="No data","x",IF(('Indicator Data'!V134)&gt;AE$150,10,IF(('Indicator Data'!V134)&lt;AE$149,0,10-(AE$150-('Indicator Data'!V134))/(AE$150-AE$149)*10)))</f>
        <v>7.8947368421052637</v>
      </c>
      <c r="AF132" s="49">
        <f t="shared" ref="AF132:AF148" si="47">AE132</f>
        <v>7.8947368421052637</v>
      </c>
      <c r="AG132" s="34">
        <f t="shared" ref="AG132:AG148" si="48">IF(AF132="x",AD132,(10-GEOMEAN(((10-AD132)/10*9+1),((10-AF132)/10*9+1)))/9*10)</f>
        <v>5.8364477315777483</v>
      </c>
      <c r="AH132" s="52">
        <f t="shared" si="35"/>
        <v>3.455566004216108</v>
      </c>
    </row>
    <row r="133" spans="1:34" s="11" customFormat="1" x14ac:dyDescent="0.25">
      <c r="A133" s="16" t="s">
        <v>548</v>
      </c>
      <c r="B133" s="11" t="s">
        <v>579</v>
      </c>
      <c r="C133" s="16" t="s">
        <v>549</v>
      </c>
      <c r="D133" s="13">
        <f>IF('Indicator Data'!I135="No data","x",IF('Indicator Data'!I135&gt;D$150,0,IF('Indicator Data'!I135&lt;D$149,10,(D$150-'Indicator Data'!I135)/(D$150-D$149)*10)))</f>
        <v>5.2</v>
      </c>
      <c r="E133" s="13" t="str">
        <f>IF('Indicator Data'!J135="No data","x",IF('Indicator Data'!J135&gt;E$150,10,IF('Indicator Data'!J135&lt;E$149,0,10-(E$150-'Indicator Data'!J135)/(E$150-E$149)*10)))</f>
        <v>x</v>
      </c>
      <c r="F133" s="144">
        <f>IF(OR('Indicator Data'!AG135=0,'Indicator Data'!AG135="No data"),"x",IF('Indicator Data'!AG135&gt;F$150,0,IF('Indicator Data'!AG135&lt;F$149,10,(F$150-'Indicator Data'!AG135)/(F$150-F$149)*10)))</f>
        <v>3.95</v>
      </c>
      <c r="G133" s="144" t="str">
        <f>IF(OR('Indicator Data'!AE135=0,'Indicator Data'!AE135="No data"),"x",IF('Indicator Data'!AE135&gt;G$150,0,IF('Indicator Data'!AE135&lt;G$149,10,(G$150-'Indicator Data'!AE135)/(G$150-G$149)*10)))</f>
        <v>x</v>
      </c>
      <c r="H133" s="144">
        <f>IF(OR('Indicator Data'!AF135=0,'Indicator Data'!AF135="No data"),"x",IF('Indicator Data'!AF135&gt;H$150,0,IF('Indicator Data'!AF135&lt;H$149,10,(H$150-'Indicator Data'!AF135)/(H$150-H$149)*10)))</f>
        <v>7.3</v>
      </c>
      <c r="I133" s="144">
        <f t="shared" si="34"/>
        <v>5.625</v>
      </c>
      <c r="J133" s="49">
        <f t="shared" si="36"/>
        <v>5.4164634182613591</v>
      </c>
      <c r="K133" s="13">
        <f>IF('Indicator Data'!K135="No data","x",IF('Indicator Data'!K135&gt;K$150,10,IF('Indicator Data'!K135&lt;K$149,0,10-(K$150-'Indicator Data'!K135)/(K$150-K$149)*10)))</f>
        <v>8.3723549853435522</v>
      </c>
      <c r="L133" s="13">
        <f>IF('Indicator Data'!L135="No data","x",IF('Indicator Data'!L135&gt;L$150,10,IF('Indicator Data'!L135&lt;L$149,0,10-(L$150-'Indicator Data'!L135)/(L$150-L$149)*10)))</f>
        <v>2.5724999999999998</v>
      </c>
      <c r="M133" s="13" t="str">
        <f>IF('Indicator Data'!M135="No data","x",IF('Indicator Data'!M135&gt;M$150,10,IF('Indicator Data'!M135&lt;M$149,0,10-(M$150-'Indicator Data'!M135)/(M$150-M$149)*10)))</f>
        <v>x</v>
      </c>
      <c r="N133" s="144"/>
      <c r="O133" s="49">
        <f t="shared" si="37"/>
        <v>5.472427492671776</v>
      </c>
      <c r="P133" s="42">
        <f t="shared" si="38"/>
        <v>5.4351181097314978</v>
      </c>
      <c r="Q133" s="33">
        <f>'Indicator Data'!AA135</f>
        <v>0</v>
      </c>
      <c r="R133" s="13">
        <f t="shared" si="39"/>
        <v>0</v>
      </c>
      <c r="S133" s="38">
        <f>Q133/'Indicator Data'!AN135</f>
        <v>0</v>
      </c>
      <c r="T133" s="13">
        <f t="shared" si="40"/>
        <v>0</v>
      </c>
      <c r="U133" s="14">
        <f t="shared" si="41"/>
        <v>0</v>
      </c>
      <c r="V133" s="33">
        <f>IF('Indicator Data'!Z135="",VLOOKUP($B133,'Indicator Data (national)'!$B$5:$AA$14,26,FALSE),'Indicator Data'!Z135)</f>
        <v>0</v>
      </c>
      <c r="W133" s="13">
        <f t="shared" si="42"/>
        <v>0</v>
      </c>
      <c r="X133" s="38">
        <f>IF('Indicator Data'!Z135="",V133/VLOOKUP($B133,'Indicator Data (national)'!$B$5:$AM$14,38,FALSE),V133/'Indicator Data'!AN135)</f>
        <v>0</v>
      </c>
      <c r="Y133" s="13">
        <f t="shared" si="43"/>
        <v>0</v>
      </c>
      <c r="Z133" s="14">
        <f t="shared" si="44"/>
        <v>0</v>
      </c>
      <c r="AA133" s="149">
        <f t="shared" si="45"/>
        <v>0</v>
      </c>
      <c r="AB133" s="33">
        <f>VLOOKUP($B133,'Indicator Data (national)'!$B$5:$Z$14,25,FALSE)+VLOOKUP($B133,'Indicator Data (national)'!$B$5:$Z$14,24,FALSE)*0.5+VLOOKUP($B133,'Indicator Data (national)'!$B$5:$Z$14,23,FALSE)*0.25</f>
        <v>934292.25</v>
      </c>
      <c r="AC133" s="39">
        <f>AB133/VLOOKUP($B133,'Indicator Data (national)'!$B$5:$AM$14,38,FALSE)</f>
        <v>2.4609754488861196E-2</v>
      </c>
      <c r="AD133" s="49">
        <f t="shared" si="46"/>
        <v>2.4609754488861206</v>
      </c>
      <c r="AE133" s="13">
        <f>IF('Indicator Data'!V135="No data","x",IF(('Indicator Data'!V135)&gt;AE$150,10,IF(('Indicator Data'!V135)&lt;AE$149,0,10-(AE$150-('Indicator Data'!V135))/(AE$150-AE$149)*10)))</f>
        <v>0</v>
      </c>
      <c r="AF133" s="49">
        <f t="shared" si="47"/>
        <v>0</v>
      </c>
      <c r="AG133" s="34">
        <f t="shared" si="48"/>
        <v>1.3074067872768502</v>
      </c>
      <c r="AH133" s="52">
        <f t="shared" si="35"/>
        <v>0.67415523103750985</v>
      </c>
    </row>
    <row r="134" spans="1:34" s="11" customFormat="1" x14ac:dyDescent="0.25">
      <c r="A134" s="16" t="s">
        <v>550</v>
      </c>
      <c r="B134" s="11" t="s">
        <v>579</v>
      </c>
      <c r="C134" s="16" t="s">
        <v>551</v>
      </c>
      <c r="D134" s="13">
        <f>IF('Indicator Data'!I136="No data","x",IF('Indicator Data'!I136&gt;D$150,0,IF('Indicator Data'!I136&lt;D$149,10,(D$150-'Indicator Data'!I136)/(D$150-D$149)*10)))</f>
        <v>5.4615384615384617</v>
      </c>
      <c r="E134" s="13" t="str">
        <f>IF('Indicator Data'!J136="No data","x",IF('Indicator Data'!J136&gt;E$150,10,IF('Indicator Data'!J136&lt;E$149,0,10-(E$150-'Indicator Data'!J136)/(E$150-E$149)*10)))</f>
        <v>x</v>
      </c>
      <c r="F134" s="144">
        <f>IF(OR('Indicator Data'!AG136=0,'Indicator Data'!AG136="No data"),"x",IF('Indicator Data'!AG136&gt;F$150,0,IF('Indicator Data'!AG136&lt;F$149,10,(F$150-'Indicator Data'!AG136)/(F$150-F$149)*10)))</f>
        <v>3.95</v>
      </c>
      <c r="G134" s="144" t="str">
        <f>IF(OR('Indicator Data'!AE136=0,'Indicator Data'!AE136="No data"),"x",IF('Indicator Data'!AE136&gt;G$150,0,IF('Indicator Data'!AE136&lt;G$149,10,(G$150-'Indicator Data'!AE136)/(G$150-G$149)*10)))</f>
        <v>x</v>
      </c>
      <c r="H134" s="144">
        <f>IF(OR('Indicator Data'!AF136=0,'Indicator Data'!AF136="No data"),"x",IF('Indicator Data'!AF136&gt;H$150,0,IF('Indicator Data'!AF136&lt;H$149,10,(H$150-'Indicator Data'!AF136)/(H$150-H$149)*10)))</f>
        <v>7.3</v>
      </c>
      <c r="I134" s="144">
        <f t="shared" si="34"/>
        <v>5.625</v>
      </c>
      <c r="J134" s="49">
        <f t="shared" si="36"/>
        <v>5.5438691291374562</v>
      </c>
      <c r="K134" s="13">
        <f>IF('Indicator Data'!K136="No data","x",IF('Indicator Data'!K136&gt;K$150,10,IF('Indicator Data'!K136&lt;K$149,0,10-(K$150-'Indicator Data'!K136)/(K$150-K$149)*10)))</f>
        <v>8.3723549853435522</v>
      </c>
      <c r="L134" s="13">
        <f>IF('Indicator Data'!L136="No data","x",IF('Indicator Data'!L136&gt;L$150,10,IF('Indicator Data'!L136&lt;L$149,0,10-(L$150-'Indicator Data'!L136)/(L$150-L$149)*10)))</f>
        <v>2.5724999999999998</v>
      </c>
      <c r="M134" s="13" t="str">
        <f>IF('Indicator Data'!M136="No data","x",IF('Indicator Data'!M136&gt;M$150,10,IF('Indicator Data'!M136&lt;M$149,0,10-(M$150-'Indicator Data'!M136)/(M$150-M$149)*10)))</f>
        <v>x</v>
      </c>
      <c r="N134" s="144"/>
      <c r="O134" s="49">
        <f t="shared" si="37"/>
        <v>5.472427492671776</v>
      </c>
      <c r="P134" s="42">
        <f t="shared" si="38"/>
        <v>5.5200552503155622</v>
      </c>
      <c r="Q134" s="33">
        <f>'Indicator Data'!AA136</f>
        <v>22274</v>
      </c>
      <c r="R134" s="13">
        <f t="shared" si="39"/>
        <v>4.4926607177493985</v>
      </c>
      <c r="S134" s="38">
        <f>Q134/'Indicator Data'!AN136</f>
        <v>1.5831228331032874E-2</v>
      </c>
      <c r="T134" s="13">
        <f t="shared" si="40"/>
        <v>6.3040363863381366</v>
      </c>
      <c r="U134" s="14">
        <f t="shared" si="41"/>
        <v>5.3983485520437675</v>
      </c>
      <c r="V134" s="33">
        <f>IF('Indicator Data'!Z136="",VLOOKUP($B134,'Indicator Data (national)'!$B$5:$AA$14,26,FALSE),'Indicator Data'!Z136)</f>
        <v>0</v>
      </c>
      <c r="W134" s="13">
        <f t="shared" si="42"/>
        <v>0</v>
      </c>
      <c r="X134" s="38">
        <f>IF('Indicator Data'!Z136="",V134/VLOOKUP($B134,'Indicator Data (national)'!$B$5:$AM$14,38,FALSE),V134/'Indicator Data'!AN136)</f>
        <v>0</v>
      </c>
      <c r="Y134" s="13">
        <f t="shared" si="43"/>
        <v>0</v>
      </c>
      <c r="Z134" s="14">
        <f t="shared" si="44"/>
        <v>0</v>
      </c>
      <c r="AA134" s="149">
        <f t="shared" si="45"/>
        <v>2.6991742760218838</v>
      </c>
      <c r="AB134" s="33">
        <f>VLOOKUP($B134,'Indicator Data (national)'!$B$5:$Z$14,25,FALSE)+VLOOKUP($B134,'Indicator Data (national)'!$B$5:$Z$14,24,FALSE)*0.5+VLOOKUP($B134,'Indicator Data (national)'!$B$5:$Z$14,23,FALSE)*0.25</f>
        <v>934292.25</v>
      </c>
      <c r="AC134" s="39">
        <f>AB134/VLOOKUP($B134,'Indicator Data (national)'!$B$5:$AM$14,38,FALSE)</f>
        <v>2.4609754488861196E-2</v>
      </c>
      <c r="AD134" s="49">
        <f t="shared" si="46"/>
        <v>2.4609754488861206</v>
      </c>
      <c r="AE134" s="13">
        <f>IF('Indicator Data'!V136="No data","x",IF(('Indicator Data'!V136)&gt;AE$150,10,IF(('Indicator Data'!V136)&lt;AE$149,0,10-(AE$150-('Indicator Data'!V136))/(AE$150-AE$149)*10)))</f>
        <v>3.1578947368421053</v>
      </c>
      <c r="AF134" s="49">
        <f t="shared" si="47"/>
        <v>3.1578947368421053</v>
      </c>
      <c r="AG134" s="34">
        <f t="shared" si="48"/>
        <v>2.8167515464155901</v>
      </c>
      <c r="AH134" s="52">
        <f t="shared" si="35"/>
        <v>1.511134511200092</v>
      </c>
    </row>
    <row r="135" spans="1:34" s="11" customFormat="1" x14ac:dyDescent="0.25">
      <c r="A135" s="16" t="s">
        <v>552</v>
      </c>
      <c r="B135" s="11" t="s">
        <v>579</v>
      </c>
      <c r="C135" s="16" t="s">
        <v>553</v>
      </c>
      <c r="D135" s="13">
        <f>IF('Indicator Data'!I137="No data","x",IF('Indicator Data'!I137&gt;D$150,0,IF('Indicator Data'!I137&lt;D$149,10,(D$150-'Indicator Data'!I137)/(D$150-D$149)*10)))</f>
        <v>5.9538461538461549</v>
      </c>
      <c r="E135" s="13" t="str">
        <f>IF('Indicator Data'!J137="No data","x",IF('Indicator Data'!J137&gt;E$150,10,IF('Indicator Data'!J137&lt;E$149,0,10-(E$150-'Indicator Data'!J137)/(E$150-E$149)*10)))</f>
        <v>x</v>
      </c>
      <c r="F135" s="144">
        <f>IF(OR('Indicator Data'!AG137=0,'Indicator Data'!AG137="No data"),"x",IF('Indicator Data'!AG137&gt;F$150,0,IF('Indicator Data'!AG137&lt;F$149,10,(F$150-'Indicator Data'!AG137)/(F$150-F$149)*10)))</f>
        <v>3.95</v>
      </c>
      <c r="G135" s="144" t="str">
        <f>IF(OR('Indicator Data'!AE137=0,'Indicator Data'!AE137="No data"),"x",IF('Indicator Data'!AE137&gt;G$150,0,IF('Indicator Data'!AE137&lt;G$149,10,(G$150-'Indicator Data'!AE137)/(G$150-G$149)*10)))</f>
        <v>x</v>
      </c>
      <c r="H135" s="144">
        <f>IF(OR('Indicator Data'!AF137=0,'Indicator Data'!AF137="No data"),"x",IF('Indicator Data'!AF137&gt;H$150,0,IF('Indicator Data'!AF137&lt;H$149,10,(H$150-'Indicator Data'!AF137)/(H$150-H$149)*10)))</f>
        <v>7.3</v>
      </c>
      <c r="I135" s="144">
        <f t="shared" si="34"/>
        <v>5.625</v>
      </c>
      <c r="J135" s="49">
        <f t="shared" si="36"/>
        <v>5.7919637560366866</v>
      </c>
      <c r="K135" s="13">
        <f>IF('Indicator Data'!K137="No data","x",IF('Indicator Data'!K137&gt;K$150,10,IF('Indicator Data'!K137&lt;K$149,0,10-(K$150-'Indicator Data'!K137)/(K$150-K$149)*10)))</f>
        <v>8.3723549853435522</v>
      </c>
      <c r="L135" s="13">
        <f>IF('Indicator Data'!L137="No data","x",IF('Indicator Data'!L137&gt;L$150,10,IF('Indicator Data'!L137&lt;L$149,0,10-(L$150-'Indicator Data'!L137)/(L$150-L$149)*10)))</f>
        <v>2.5724999999999998</v>
      </c>
      <c r="M135" s="13" t="str">
        <f>IF('Indicator Data'!M137="No data","x",IF('Indicator Data'!M137&gt;M$150,10,IF('Indicator Data'!M137&lt;M$149,0,10-(M$150-'Indicator Data'!M137)/(M$150-M$149)*10)))</f>
        <v>x</v>
      </c>
      <c r="N135" s="144"/>
      <c r="O135" s="49">
        <f t="shared" si="37"/>
        <v>5.472427492671776</v>
      </c>
      <c r="P135" s="42">
        <f t="shared" si="38"/>
        <v>5.6854516682483833</v>
      </c>
      <c r="Q135" s="33">
        <f>'Indicator Data'!AA137</f>
        <v>8950</v>
      </c>
      <c r="R135" s="13">
        <f t="shared" si="39"/>
        <v>3.1727434510530408</v>
      </c>
      <c r="S135" s="38">
        <f>Q135/'Indicator Data'!AN137</f>
        <v>3.089936129811842E-3</v>
      </c>
      <c r="T135" s="13">
        <f t="shared" si="40"/>
        <v>4.2131983111528246</v>
      </c>
      <c r="U135" s="14">
        <f t="shared" si="41"/>
        <v>3.6929708811029327</v>
      </c>
      <c r="V135" s="33">
        <f>IF('Indicator Data'!Z137="",VLOOKUP($B135,'Indicator Data (national)'!$B$5:$AA$14,26,FALSE),'Indicator Data'!Z137)</f>
        <v>834310</v>
      </c>
      <c r="W135" s="13">
        <f t="shared" si="42"/>
        <v>9.737758163493444</v>
      </c>
      <c r="X135" s="38">
        <f>IF('Indicator Data'!Z137="",V135/VLOOKUP($B135,'Indicator Data (national)'!$B$5:$AM$14,38,FALSE),V135/'Indicator Data'!AN137)</f>
        <v>0.28804073882271708</v>
      </c>
      <c r="Y135" s="13">
        <f t="shared" si="43"/>
        <v>10</v>
      </c>
      <c r="Z135" s="14">
        <f t="shared" si="44"/>
        <v>9.8688790817467229</v>
      </c>
      <c r="AA135" s="149">
        <f t="shared" si="45"/>
        <v>6.7809249814248282</v>
      </c>
      <c r="AB135" s="33">
        <f>VLOOKUP($B135,'Indicator Data (national)'!$B$5:$Z$14,25,FALSE)+VLOOKUP($B135,'Indicator Data (national)'!$B$5:$Z$14,24,FALSE)*0.5+VLOOKUP($B135,'Indicator Data (national)'!$B$5:$Z$14,23,FALSE)*0.25</f>
        <v>934292.25</v>
      </c>
      <c r="AC135" s="39">
        <f>AB135/VLOOKUP($B135,'Indicator Data (national)'!$B$5:$AM$14,38,FALSE)</f>
        <v>2.4609754488861196E-2</v>
      </c>
      <c r="AD135" s="49">
        <f t="shared" si="46"/>
        <v>2.4609754488861206</v>
      </c>
      <c r="AE135" s="13">
        <f>IF('Indicator Data'!V137="No data","x",IF(('Indicator Data'!V137)&gt;AE$150,10,IF(('Indicator Data'!V137)&lt;AE$149,0,10-(AE$150-('Indicator Data'!V137))/(AE$150-AE$149)*10)))</f>
        <v>9.473684210526315</v>
      </c>
      <c r="AF135" s="49">
        <f t="shared" si="47"/>
        <v>9.473684210526315</v>
      </c>
      <c r="AG135" s="34">
        <f t="shared" si="48"/>
        <v>7.3476067830898071</v>
      </c>
      <c r="AH135" s="52">
        <f t="shared" si="35"/>
        <v>8.9489026061515258</v>
      </c>
    </row>
    <row r="136" spans="1:34" s="11" customFormat="1" x14ac:dyDescent="0.25">
      <c r="A136" s="16" t="s">
        <v>554</v>
      </c>
      <c r="B136" s="11" t="s">
        <v>579</v>
      </c>
      <c r="C136" s="16" t="s">
        <v>555</v>
      </c>
      <c r="D136" s="13">
        <f>IF('Indicator Data'!I138="No data","x",IF('Indicator Data'!I138&gt;D$150,0,IF('Indicator Data'!I138&lt;D$149,10,(D$150-'Indicator Data'!I138)/(D$150-D$149)*10)))</f>
        <v>6.430769230769231</v>
      </c>
      <c r="E136" s="13" t="str">
        <f>IF('Indicator Data'!J138="No data","x",IF('Indicator Data'!J138&gt;E$150,10,IF('Indicator Data'!J138&lt;E$149,0,10-(E$150-'Indicator Data'!J138)/(E$150-E$149)*10)))</f>
        <v>x</v>
      </c>
      <c r="F136" s="144">
        <f>IF(OR('Indicator Data'!AG138=0,'Indicator Data'!AG138="No data"),"x",IF('Indicator Data'!AG138&gt;F$150,0,IF('Indicator Data'!AG138&lt;F$149,10,(F$150-'Indicator Data'!AG138)/(F$150-F$149)*10)))</f>
        <v>3.95</v>
      </c>
      <c r="G136" s="144" t="str">
        <f>IF(OR('Indicator Data'!AE138=0,'Indicator Data'!AE138="No data"),"x",IF('Indicator Data'!AE138&gt;G$150,0,IF('Indicator Data'!AE138&lt;G$149,10,(G$150-'Indicator Data'!AE138)/(G$150-G$149)*10)))</f>
        <v>x</v>
      </c>
      <c r="H136" s="144">
        <f>IF(OR('Indicator Data'!AF138=0,'Indicator Data'!AF138="No data"),"x",IF('Indicator Data'!AF138&gt;H$150,0,IF('Indicator Data'!AF138&lt;H$149,10,(H$150-'Indicator Data'!AF138)/(H$150-H$149)*10)))</f>
        <v>7.3</v>
      </c>
      <c r="I136" s="144">
        <f t="shared" si="34"/>
        <v>5.625</v>
      </c>
      <c r="J136" s="49">
        <f t="shared" si="36"/>
        <v>6.0438756129778088</v>
      </c>
      <c r="K136" s="13">
        <f>IF('Indicator Data'!K138="No data","x",IF('Indicator Data'!K138&gt;K$150,10,IF('Indicator Data'!K138&lt;K$149,0,10-(K$150-'Indicator Data'!K138)/(K$150-K$149)*10)))</f>
        <v>8.3723549853435522</v>
      </c>
      <c r="L136" s="13">
        <f>IF('Indicator Data'!L138="No data","x",IF('Indicator Data'!L138&gt;L$150,10,IF('Indicator Data'!L138&lt;L$149,0,10-(L$150-'Indicator Data'!L138)/(L$150-L$149)*10)))</f>
        <v>2.5724999999999998</v>
      </c>
      <c r="M136" s="13" t="str">
        <f>IF('Indicator Data'!M138="No data","x",IF('Indicator Data'!M138&gt;M$150,10,IF('Indicator Data'!M138&lt;M$149,0,10-(M$150-'Indicator Data'!M138)/(M$150-M$149)*10)))</f>
        <v>x</v>
      </c>
      <c r="N136" s="144"/>
      <c r="O136" s="49">
        <f t="shared" si="37"/>
        <v>5.472427492671776</v>
      </c>
      <c r="P136" s="42">
        <f t="shared" si="38"/>
        <v>5.8533929062091312</v>
      </c>
      <c r="Q136" s="33">
        <f>'Indicator Data'!AA138</f>
        <v>14437</v>
      </c>
      <c r="R136" s="13">
        <f t="shared" si="39"/>
        <v>3.8649231882474453</v>
      </c>
      <c r="S136" s="38">
        <f>Q136/'Indicator Data'!AN138</f>
        <v>8.6387389128604539E-3</v>
      </c>
      <c r="T136" s="13">
        <f t="shared" si="40"/>
        <v>5.429210284211444</v>
      </c>
      <c r="U136" s="14">
        <f t="shared" si="41"/>
        <v>4.6470667362294442</v>
      </c>
      <c r="V136" s="33">
        <f>IF('Indicator Data'!Z138="",VLOOKUP($B136,'Indicator Data (national)'!$B$5:$AA$14,26,FALSE),'Indicator Data'!Z138)</f>
        <v>367008</v>
      </c>
      <c r="W136" s="13">
        <f t="shared" si="42"/>
        <v>8.5489184368619888</v>
      </c>
      <c r="X136" s="38">
        <f>IF('Indicator Data'!Z138="",V136/VLOOKUP($B136,'Indicator Data (national)'!$B$5:$AM$14,38,FALSE),V136/'Indicator Data'!AN138)</f>
        <v>0.21960838754111583</v>
      </c>
      <c r="Y136" s="13">
        <f t="shared" si="43"/>
        <v>10</v>
      </c>
      <c r="Z136" s="14">
        <f t="shared" si="44"/>
        <v>9.2744592184309944</v>
      </c>
      <c r="AA136" s="149">
        <f t="shared" si="45"/>
        <v>6.9607629773302193</v>
      </c>
      <c r="AB136" s="33">
        <f>VLOOKUP($B136,'Indicator Data (national)'!$B$5:$Z$14,25,FALSE)+VLOOKUP($B136,'Indicator Data (national)'!$B$5:$Z$14,24,FALSE)*0.5+VLOOKUP($B136,'Indicator Data (national)'!$B$5:$Z$14,23,FALSE)*0.25</f>
        <v>934292.25</v>
      </c>
      <c r="AC136" s="39">
        <f>AB136/VLOOKUP($B136,'Indicator Data (national)'!$B$5:$AM$14,38,FALSE)</f>
        <v>2.4609754488861196E-2</v>
      </c>
      <c r="AD136" s="49">
        <f t="shared" si="46"/>
        <v>2.4609754488861206</v>
      </c>
      <c r="AE136" s="13">
        <f>IF('Indicator Data'!V138="No data","x",IF(('Indicator Data'!V138)&gt;AE$150,10,IF(('Indicator Data'!V138)&lt;AE$149,0,10-(AE$150-('Indicator Data'!V138))/(AE$150-AE$149)*10)))</f>
        <v>7.8947368421052637</v>
      </c>
      <c r="AF136" s="49">
        <f t="shared" si="47"/>
        <v>7.8947368421052637</v>
      </c>
      <c r="AG136" s="34">
        <f t="shared" si="48"/>
        <v>5.8364477315777483</v>
      </c>
      <c r="AH136" s="52">
        <f t="shared" si="35"/>
        <v>7.9986007931731207</v>
      </c>
    </row>
    <row r="137" spans="1:34" x14ac:dyDescent="0.25">
      <c r="A137" s="16" t="s">
        <v>556</v>
      </c>
      <c r="B137" s="11" t="s">
        <v>579</v>
      </c>
      <c r="C137" s="16" t="s">
        <v>557</v>
      </c>
      <c r="D137" s="13">
        <f>IF('Indicator Data'!I139="No data","x",IF('Indicator Data'!I139&gt;D$150,0,IF('Indicator Data'!I139&lt;D$149,10,(D$150-'Indicator Data'!I139)/(D$150-D$149)*10)))</f>
        <v>6.5846153846153843</v>
      </c>
      <c r="E137" s="13" t="str">
        <f>IF('Indicator Data'!J139="No data","x",IF('Indicator Data'!J139&gt;E$150,10,IF('Indicator Data'!J139&lt;E$149,0,10-(E$150-'Indicator Data'!J139)/(E$150-E$149)*10)))</f>
        <v>x</v>
      </c>
      <c r="F137" s="144">
        <f>IF(OR('Indicator Data'!AG139=0,'Indicator Data'!AG139="No data"),"x",IF('Indicator Data'!AG139&gt;F$150,0,IF('Indicator Data'!AG139&lt;F$149,10,(F$150-'Indicator Data'!AG139)/(F$150-F$149)*10)))</f>
        <v>3.95</v>
      </c>
      <c r="G137" s="144" t="str">
        <f>IF(OR('Indicator Data'!AE139=0,'Indicator Data'!AE139="No data"),"x",IF('Indicator Data'!AE139&gt;G$150,0,IF('Indicator Data'!AE139&lt;G$149,10,(G$150-'Indicator Data'!AE139)/(G$150-G$149)*10)))</f>
        <v>x</v>
      </c>
      <c r="H137" s="144">
        <f>IF(OR('Indicator Data'!AF139=0,'Indicator Data'!AF139="No data"),"x",IF('Indicator Data'!AF139&gt;H$150,0,IF('Indicator Data'!AF139&lt;H$149,10,(H$150-'Indicator Data'!AF139)/(H$150-H$149)*10)))</f>
        <v>7.3</v>
      </c>
      <c r="I137" s="144">
        <f t="shared" si="34"/>
        <v>5.625</v>
      </c>
      <c r="J137" s="49">
        <f t="shared" si="36"/>
        <v>6.1278532912180674</v>
      </c>
      <c r="K137" s="13">
        <f>IF('Indicator Data'!K139="No data","x",IF('Indicator Data'!K139&gt;K$150,10,IF('Indicator Data'!K139&lt;K$149,0,10-(K$150-'Indicator Data'!K139)/(K$150-K$149)*10)))</f>
        <v>8.3723549853435522</v>
      </c>
      <c r="L137" s="13">
        <f>IF('Indicator Data'!L139="No data","x",IF('Indicator Data'!L139&gt;L$150,10,IF('Indicator Data'!L139&lt;L$149,0,10-(L$150-'Indicator Data'!L139)/(L$150-L$149)*10)))</f>
        <v>2.5724999999999998</v>
      </c>
      <c r="M137" s="13" t="str">
        <f>IF('Indicator Data'!M139="No data","x",IF('Indicator Data'!M139&gt;M$150,10,IF('Indicator Data'!M139&lt;M$149,0,10-(M$150-'Indicator Data'!M139)/(M$150-M$149)*10)))</f>
        <v>x</v>
      </c>
      <c r="N137" s="144"/>
      <c r="O137" s="49">
        <f t="shared" si="37"/>
        <v>5.472427492671776</v>
      </c>
      <c r="P137" s="42">
        <f t="shared" si="38"/>
        <v>5.90937802503597</v>
      </c>
      <c r="Q137" s="33">
        <f>'Indicator Data'!AA139</f>
        <v>8950</v>
      </c>
      <c r="R137" s="13">
        <f t="shared" si="39"/>
        <v>3.1727434510530408</v>
      </c>
      <c r="S137" s="38">
        <f>Q137/'Indicator Data'!AN139</f>
        <v>1.3140720228927497E-2</v>
      </c>
      <c r="T137" s="13">
        <f t="shared" si="40"/>
        <v>6.0209732329731658</v>
      </c>
      <c r="U137" s="14">
        <f t="shared" si="41"/>
        <v>4.5968583420131033</v>
      </c>
      <c r="V137" s="33">
        <f>IF('Indicator Data'!Z139="",VLOOKUP($B137,'Indicator Data (national)'!$B$5:$AA$14,26,FALSE),'Indicator Data'!Z139)</f>
        <v>338082</v>
      </c>
      <c r="W137" s="13">
        <f t="shared" si="42"/>
        <v>8.4300734962746073</v>
      </c>
      <c r="X137" s="38">
        <f>IF('Indicator Data'!Z139="",V137/VLOOKUP($B137,'Indicator Data (national)'!$B$5:$AM$14,38,FALSE),V137/'Indicator Data'!AN139)</f>
        <v>0.49638446664092356</v>
      </c>
      <c r="Y137" s="13">
        <f t="shared" si="43"/>
        <v>10</v>
      </c>
      <c r="Z137" s="14">
        <f t="shared" si="44"/>
        <v>9.2150367481373046</v>
      </c>
      <c r="AA137" s="149">
        <f t="shared" si="45"/>
        <v>6.9059475450752039</v>
      </c>
      <c r="AB137" s="33">
        <f>VLOOKUP($B137,'Indicator Data (national)'!$B$5:$Z$14,25,FALSE)+VLOOKUP($B137,'Indicator Data (national)'!$B$5:$Z$14,24,FALSE)*0.5+VLOOKUP($B137,'Indicator Data (national)'!$B$5:$Z$14,23,FALSE)*0.25</f>
        <v>934292.25</v>
      </c>
      <c r="AC137" s="39">
        <f>AB137/VLOOKUP($B137,'Indicator Data (national)'!$B$5:$AM$14,38,FALSE)</f>
        <v>2.4609754488861196E-2</v>
      </c>
      <c r="AD137" s="49">
        <f t="shared" si="46"/>
        <v>2.4609754488861206</v>
      </c>
      <c r="AE137" s="13">
        <f>IF('Indicator Data'!V139="No data","x",IF(('Indicator Data'!V139)&gt;AE$150,10,IF(('Indicator Data'!V139)&lt;AE$149,0,10-(AE$150-('Indicator Data'!V139))/(AE$150-AE$149)*10)))</f>
        <v>10</v>
      </c>
      <c r="AF137" s="49">
        <f t="shared" si="47"/>
        <v>10</v>
      </c>
      <c r="AG137" s="34">
        <f t="shared" si="48"/>
        <v>8.0109075940953876</v>
      </c>
      <c r="AH137" s="52">
        <f t="shared" si="35"/>
        <v>8.6866077787531744</v>
      </c>
    </row>
    <row r="138" spans="1:34" x14ac:dyDescent="0.25">
      <c r="A138" s="16" t="s">
        <v>558</v>
      </c>
      <c r="B138" s="11" t="s">
        <v>579</v>
      </c>
      <c r="C138" s="16" t="s">
        <v>559</v>
      </c>
      <c r="D138" s="13">
        <f>IF('Indicator Data'!I140="No data","x",IF('Indicator Data'!I140&gt;D$150,0,IF('Indicator Data'!I140&lt;D$149,10,(D$150-'Indicator Data'!I140)/(D$150-D$149)*10)))</f>
        <v>5.3692307692307697</v>
      </c>
      <c r="E138" s="13" t="str">
        <f>IF('Indicator Data'!J140="No data","x",IF('Indicator Data'!J140&gt;E$150,10,IF('Indicator Data'!J140&lt;E$149,0,10-(E$150-'Indicator Data'!J140)/(E$150-E$149)*10)))</f>
        <v>x</v>
      </c>
      <c r="F138" s="144">
        <f>IF(OR('Indicator Data'!AG140=0,'Indicator Data'!AG140="No data"),"x",IF('Indicator Data'!AG140&gt;F$150,0,IF('Indicator Data'!AG140&lt;F$149,10,(F$150-'Indicator Data'!AG140)/(F$150-F$149)*10)))</f>
        <v>3.95</v>
      </c>
      <c r="G138" s="144" t="str">
        <f>IF(OR('Indicator Data'!AE140=0,'Indicator Data'!AE140="No data"),"x",IF('Indicator Data'!AE140&gt;G$150,0,IF('Indicator Data'!AE140&lt;G$149,10,(G$150-'Indicator Data'!AE140)/(G$150-G$149)*10)))</f>
        <v>x</v>
      </c>
      <c r="H138" s="144">
        <f>IF(OR('Indicator Data'!AF140=0,'Indicator Data'!AF140="No data"),"x",IF('Indicator Data'!AF140&gt;H$150,0,IF('Indicator Data'!AF140&lt;H$149,10,(H$150-'Indicator Data'!AF140)/(H$150-H$149)*10)))</f>
        <v>7.3</v>
      </c>
      <c r="I138" s="144">
        <f t="shared" si="34"/>
        <v>5.625</v>
      </c>
      <c r="J138" s="49">
        <f t="shared" si="36"/>
        <v>5.4985721542520851</v>
      </c>
      <c r="K138" s="13">
        <f>IF('Indicator Data'!K140="No data","x",IF('Indicator Data'!K140&gt;K$150,10,IF('Indicator Data'!K140&lt;K$149,0,10-(K$150-'Indicator Data'!K140)/(K$150-K$149)*10)))</f>
        <v>8.3723549853435522</v>
      </c>
      <c r="L138" s="13">
        <f>IF('Indicator Data'!L140="No data","x",IF('Indicator Data'!L140&gt;L$150,10,IF('Indicator Data'!L140&lt;L$149,0,10-(L$150-'Indicator Data'!L140)/(L$150-L$149)*10)))</f>
        <v>2.5724999999999998</v>
      </c>
      <c r="M138" s="13" t="str">
        <f>IF('Indicator Data'!M140="No data","x",IF('Indicator Data'!M140&gt;M$150,10,IF('Indicator Data'!M140&lt;M$149,0,10-(M$150-'Indicator Data'!M140)/(M$150-M$149)*10)))</f>
        <v>x</v>
      </c>
      <c r="N138" s="144"/>
      <c r="O138" s="49">
        <f t="shared" si="37"/>
        <v>5.472427492671776</v>
      </c>
      <c r="P138" s="42">
        <f t="shared" si="38"/>
        <v>5.4898572670586487</v>
      </c>
      <c r="Q138" s="33">
        <f>'Indicator Data'!AA140</f>
        <v>45004</v>
      </c>
      <c r="R138" s="13">
        <f t="shared" si="39"/>
        <v>5.5108370533788698</v>
      </c>
      <c r="S138" s="38">
        <f>Q138/'Indicator Data'!AN140</f>
        <v>2.6589512728450081E-2</v>
      </c>
      <c r="T138" s="13">
        <f t="shared" si="40"/>
        <v>7.1640876475278192</v>
      </c>
      <c r="U138" s="14">
        <f t="shared" si="41"/>
        <v>6.3374623504533449</v>
      </c>
      <c r="V138" s="33">
        <f>IF('Indicator Data'!Z140="",VLOOKUP($B138,'Indicator Data (national)'!$B$5:$AA$14,26,FALSE),'Indicator Data'!Z140)</f>
        <v>0</v>
      </c>
      <c r="W138" s="13">
        <f t="shared" si="42"/>
        <v>0</v>
      </c>
      <c r="X138" s="38">
        <f>IF('Indicator Data'!Z140="",V138/VLOOKUP($B138,'Indicator Data (national)'!$B$5:$AM$14,38,FALSE),V138/'Indicator Data'!AN140)</f>
        <v>0</v>
      </c>
      <c r="Y138" s="13">
        <f t="shared" si="43"/>
        <v>0</v>
      </c>
      <c r="Z138" s="14">
        <f t="shared" si="44"/>
        <v>0</v>
      </c>
      <c r="AA138" s="149">
        <f t="shared" si="45"/>
        <v>3.1687311752266725</v>
      </c>
      <c r="AB138" s="33">
        <f>VLOOKUP($B138,'Indicator Data (national)'!$B$5:$Z$14,25,FALSE)+VLOOKUP($B138,'Indicator Data (national)'!$B$5:$Z$14,24,FALSE)*0.5+VLOOKUP($B138,'Indicator Data (national)'!$B$5:$Z$14,23,FALSE)*0.25</f>
        <v>934292.25</v>
      </c>
      <c r="AC138" s="39">
        <f>AB138/VLOOKUP($B138,'Indicator Data (national)'!$B$5:$AM$14,38,FALSE)</f>
        <v>2.4609754488861196E-2</v>
      </c>
      <c r="AD138" s="49">
        <f t="shared" si="46"/>
        <v>2.4609754488861206</v>
      </c>
      <c r="AE138" s="13">
        <f>IF('Indicator Data'!V140="No data","x",IF(('Indicator Data'!V140)&gt;AE$150,10,IF(('Indicator Data'!V140)&lt;AE$149,0,10-(AE$150-('Indicator Data'!V140))/(AE$150-AE$149)*10)))</f>
        <v>1.5789473684210531</v>
      </c>
      <c r="AF138" s="49">
        <f t="shared" si="47"/>
        <v>1.5789473684210531</v>
      </c>
      <c r="AG138" s="34">
        <f t="shared" si="48"/>
        <v>2.0306645621350463</v>
      </c>
      <c r="AH138" s="52">
        <f t="shared" si="35"/>
        <v>1.0665180111304808</v>
      </c>
    </row>
    <row r="139" spans="1:34" x14ac:dyDescent="0.25">
      <c r="A139" s="16" t="s">
        <v>561</v>
      </c>
      <c r="B139" s="11" t="s">
        <v>581</v>
      </c>
      <c r="C139" s="126" t="s">
        <v>607</v>
      </c>
      <c r="D139" s="13">
        <f>IF('Indicator Data'!I141="No data","x",IF('Indicator Data'!I141&gt;D$150,0,IF('Indicator Data'!I141&lt;D$149,10,(D$150-'Indicator Data'!I141)/(D$150-D$149)*10)))</f>
        <v>7.1692307692307704</v>
      </c>
      <c r="E139" s="13">
        <f>IF('Indicator Data'!J141="No data","x",IF('Indicator Data'!J141&gt;E$150,10,IF('Indicator Data'!J141&lt;E$149,0,10-(E$150-'Indicator Data'!J141)/(E$150-E$149)*10)))</f>
        <v>4.996736666666667</v>
      </c>
      <c r="F139" s="144">
        <f>IF(OR('Indicator Data'!AG141=0,'Indicator Data'!AG141="No data"),"x",IF('Indicator Data'!AG141&gt;F$150,0,IF('Indicator Data'!AG141&lt;F$149,10,(F$150-'Indicator Data'!AG141)/(F$150-F$149)*10)))</f>
        <v>7.3</v>
      </c>
      <c r="G139" s="144">
        <f>IF(OR('Indicator Data'!AE141=0,'Indicator Data'!AE141="No data"),"x",IF('Indicator Data'!AE141&gt;G$150,0,IF('Indicator Data'!AE141&lt;G$149,10,(G$150-'Indicator Data'!AE141)/(G$150-G$149)*10)))</f>
        <v>7.87</v>
      </c>
      <c r="H139" s="144">
        <f>IF(OR('Indicator Data'!AF141=0,'Indicator Data'!AF141="No data"),"x",IF('Indicator Data'!AF141&gt;H$150,0,IF('Indicator Data'!AF141&lt;H$149,10,(H$150-'Indicator Data'!AF141)/(H$150-H$149)*10)))</f>
        <v>5.96</v>
      </c>
      <c r="I139" s="144">
        <f t="shared" si="34"/>
        <v>7.043333333333333</v>
      </c>
      <c r="J139" s="49">
        <f t="shared" si="36"/>
        <v>6.2017188447046987</v>
      </c>
      <c r="K139" s="13">
        <f>IF('Indicator Data'!K141="No data","x",IF('Indicator Data'!K141&gt;K$150,10,IF('Indicator Data'!K141&lt;K$149,0,10-(K$150-'Indicator Data'!K141)/(K$150-K$149)*10)))</f>
        <v>7.047403128504965</v>
      </c>
      <c r="L139" s="13">
        <f>IF('Indicator Data'!L141="No data","x",IF('Indicator Data'!L141&gt;L$150,10,IF('Indicator Data'!L141&lt;L$149,0,10-(L$150-'Indicator Data'!L141)/(L$150-L$149)*10)))</f>
        <v>1.25</v>
      </c>
      <c r="M139" s="13">
        <f>IF('Indicator Data'!M141="No data","x",IF('Indicator Data'!M141&gt;M$150,10,IF('Indicator Data'!M141&lt;M$149,0,10-(M$150-'Indicator Data'!M141)/(M$150-M$149)*10)))</f>
        <v>2.1652213333333323</v>
      </c>
      <c r="N139" s="144"/>
      <c r="O139" s="49">
        <f t="shared" si="37"/>
        <v>3.4875414872794317</v>
      </c>
      <c r="P139" s="42">
        <f t="shared" si="38"/>
        <v>5.2969930588962759</v>
      </c>
      <c r="Q139" s="33">
        <f>'Indicator Data'!AA141</f>
        <v>0</v>
      </c>
      <c r="R139" s="13">
        <f t="shared" si="39"/>
        <v>0</v>
      </c>
      <c r="S139" s="38">
        <f>Q139/'Indicator Data'!AN141</f>
        <v>0</v>
      </c>
      <c r="T139" s="13">
        <f t="shared" si="40"/>
        <v>0</v>
      </c>
      <c r="U139" s="14">
        <f t="shared" si="41"/>
        <v>0</v>
      </c>
      <c r="V139" s="33">
        <f>IF('Indicator Data'!Z141="",VLOOKUP($B139,'Indicator Data (national)'!$B$5:$AA$14,26,FALSE),'Indicator Data'!Z141)</f>
        <v>29800</v>
      </c>
      <c r="W139" s="13">
        <f t="shared" si="42"/>
        <v>4.9140542135875176</v>
      </c>
      <c r="X139" s="38">
        <f>IF('Indicator Data'!Z141="",V139/VLOOKUP($B139,'Indicator Data (national)'!$B$5:$AM$14,38,FALSE),V139/'Indicator Data'!AN141)</f>
        <v>7.9299870491070571E-4</v>
      </c>
      <c r="Y139" s="13">
        <f t="shared" si="43"/>
        <v>3.0125037348073413</v>
      </c>
      <c r="Z139" s="14">
        <f t="shared" si="44"/>
        <v>3.9632789741974292</v>
      </c>
      <c r="AA139" s="149">
        <f t="shared" si="45"/>
        <v>1.9816394870987146</v>
      </c>
      <c r="AB139" s="33">
        <f>VLOOKUP($B139,'Indicator Data (national)'!$B$5:$Z$14,25,FALSE)+VLOOKUP($B139,'Indicator Data (national)'!$B$5:$Z$14,24,FALSE)*0.5+VLOOKUP($B139,'Indicator Data (national)'!$B$5:$Z$14,23,FALSE)*0.25</f>
        <v>18906.25</v>
      </c>
      <c r="AC139" s="39">
        <f>AB139/VLOOKUP($B139,'Indicator Data (national)'!$B$5:$AM$14,38,FALSE)</f>
        <v>5.031084484804708E-4</v>
      </c>
      <c r="AD139" s="49">
        <f t="shared" si="46"/>
        <v>5.0310844848047154E-2</v>
      </c>
      <c r="AE139" s="13">
        <f>IF('Indicator Data'!V141="No data","x",IF(('Indicator Data'!V141)&gt;AE$150,10,IF(('Indicator Data'!V141)&lt;AE$149,0,10-(AE$150-('Indicator Data'!V141))/(AE$150-AE$149)*10)))</f>
        <v>0</v>
      </c>
      <c r="AF139" s="49">
        <f t="shared" si="47"/>
        <v>0</v>
      </c>
      <c r="AG139" s="34">
        <f t="shared" si="48"/>
        <v>2.5183962863371236E-2</v>
      </c>
      <c r="AH139" s="52">
        <f t="shared" si="35"/>
        <v>2.2094064239329843</v>
      </c>
    </row>
    <row r="140" spans="1:34" x14ac:dyDescent="0.25">
      <c r="A140" s="16" t="s">
        <v>562</v>
      </c>
      <c r="B140" s="11" t="s">
        <v>581</v>
      </c>
      <c r="C140" s="126" t="s">
        <v>608</v>
      </c>
      <c r="D140" s="13">
        <f>IF('Indicator Data'!I142="No data","x",IF('Indicator Data'!I142&gt;D$150,0,IF('Indicator Data'!I142&lt;D$149,10,(D$150-'Indicator Data'!I142)/(D$150-D$149)*10)))</f>
        <v>7.1692307692307704</v>
      </c>
      <c r="E140" s="13">
        <f>IF('Indicator Data'!J142="No data","x",IF('Indicator Data'!J142&gt;E$150,10,IF('Indicator Data'!J142&lt;E$149,0,10-(E$150-'Indicator Data'!J142)/(E$150-E$149)*10)))</f>
        <v>4.9049600000000009</v>
      </c>
      <c r="F140" s="144">
        <f>IF(OR('Indicator Data'!AG142=0,'Indicator Data'!AG142="No data"),"x",IF('Indicator Data'!AG142&gt;F$150,0,IF('Indicator Data'!AG142&lt;F$149,10,(F$150-'Indicator Data'!AG142)/(F$150-F$149)*10)))</f>
        <v>6.36</v>
      </c>
      <c r="G140" s="144">
        <f>IF(OR('Indicator Data'!AE142=0,'Indicator Data'!AE142="No data"),"x",IF('Indicator Data'!AE142&gt;G$150,0,IF('Indicator Data'!AE142&lt;G$149,10,(G$150-'Indicator Data'!AE142)/(G$150-G$149)*10)))</f>
        <v>8.85</v>
      </c>
      <c r="H140" s="144">
        <f>IF(OR('Indicator Data'!AF142=0,'Indicator Data'!AF142="No data"),"x",IF('Indicator Data'!AF142&gt;H$150,0,IF('Indicator Data'!AF142&lt;H$149,10,(H$150-'Indicator Data'!AF142)/(H$150-H$149)*10)))</f>
        <v>7.7099999999999991</v>
      </c>
      <c r="I140" s="144">
        <f t="shared" si="34"/>
        <v>7.6400000000000006</v>
      </c>
      <c r="J140" s="49">
        <f t="shared" si="36"/>
        <v>6.1650111259078475</v>
      </c>
      <c r="K140" s="13">
        <f>IF('Indicator Data'!K142="No data","x",IF('Indicator Data'!K142&gt;K$150,10,IF('Indicator Data'!K142&lt;K$149,0,10-(K$150-'Indicator Data'!K142)/(K$150-K$149)*10)))</f>
        <v>7.047403128504965</v>
      </c>
      <c r="L140" s="13">
        <f>IF('Indicator Data'!L142="No data","x",IF('Indicator Data'!L142&gt;L$150,10,IF('Indicator Data'!L142&lt;L$149,0,10-(L$150-'Indicator Data'!L142)/(L$150-L$149)*10)))</f>
        <v>2.2500000000000009</v>
      </c>
      <c r="M140" s="13">
        <f>IF('Indicator Data'!M142="No data","x",IF('Indicator Data'!M142&gt;M$150,10,IF('Indicator Data'!M142&lt;M$149,0,10-(M$150-'Indicator Data'!M142)/(M$150-M$149)*10)))</f>
        <v>2.3145293333333328</v>
      </c>
      <c r="N140" s="144"/>
      <c r="O140" s="49">
        <f t="shared" si="37"/>
        <v>3.8706441539460994</v>
      </c>
      <c r="P140" s="42">
        <f t="shared" si="38"/>
        <v>5.400222135253931</v>
      </c>
      <c r="Q140" s="33">
        <f>'Indicator Data'!AA142</f>
        <v>0</v>
      </c>
      <c r="R140" s="13">
        <f t="shared" si="39"/>
        <v>0</v>
      </c>
      <c r="S140" s="38">
        <f>Q140/'Indicator Data'!AN142</f>
        <v>0</v>
      </c>
      <c r="T140" s="13">
        <f t="shared" si="40"/>
        <v>0</v>
      </c>
      <c r="U140" s="14">
        <f t="shared" si="41"/>
        <v>0</v>
      </c>
      <c r="V140" s="33">
        <f>IF('Indicator Data'!Z142="",VLOOKUP($B140,'Indicator Data (national)'!$B$5:$AA$14,26,FALSE),'Indicator Data'!Z142)</f>
        <v>29800</v>
      </c>
      <c r="W140" s="13">
        <f t="shared" si="42"/>
        <v>4.9140542135875176</v>
      </c>
      <c r="X140" s="38">
        <f>IF('Indicator Data'!Z142="",V140/VLOOKUP($B140,'Indicator Data (national)'!$B$5:$AM$14,38,FALSE),V140/'Indicator Data'!AN142)</f>
        <v>7.9299870491070571E-4</v>
      </c>
      <c r="Y140" s="13">
        <f t="shared" si="43"/>
        <v>3.0125037348073413</v>
      </c>
      <c r="Z140" s="14">
        <f t="shared" si="44"/>
        <v>3.9632789741974292</v>
      </c>
      <c r="AA140" s="149">
        <f t="shared" si="45"/>
        <v>1.9816394870987146</v>
      </c>
      <c r="AB140" s="33">
        <f>VLOOKUP($B140,'Indicator Data (national)'!$B$5:$Z$14,25,FALSE)+VLOOKUP($B140,'Indicator Data (national)'!$B$5:$Z$14,24,FALSE)*0.5+VLOOKUP($B140,'Indicator Data (national)'!$B$5:$Z$14,23,FALSE)*0.25</f>
        <v>18906.25</v>
      </c>
      <c r="AC140" s="39">
        <f>AB140/VLOOKUP($B140,'Indicator Data (national)'!$B$5:$AM$14,38,FALSE)</f>
        <v>5.031084484804708E-4</v>
      </c>
      <c r="AD140" s="49">
        <f t="shared" si="46"/>
        <v>5.0310844848047154E-2</v>
      </c>
      <c r="AE140" s="13">
        <f>IF('Indicator Data'!V142="No data","x",IF(('Indicator Data'!V142)&gt;AE$150,10,IF(('Indicator Data'!V142)&lt;AE$149,0,10-(AE$150-('Indicator Data'!V142))/(AE$150-AE$149)*10)))</f>
        <v>0</v>
      </c>
      <c r="AF140" s="49">
        <f t="shared" si="47"/>
        <v>0</v>
      </c>
      <c r="AG140" s="34">
        <f t="shared" si="48"/>
        <v>2.5183962863371236E-2</v>
      </c>
      <c r="AH140" s="52">
        <f t="shared" si="35"/>
        <v>2.2094064239329843</v>
      </c>
    </row>
    <row r="141" spans="1:34" x14ac:dyDescent="0.25">
      <c r="A141" s="16" t="s">
        <v>563</v>
      </c>
      <c r="B141" s="11" t="s">
        <v>581</v>
      </c>
      <c r="C141" s="126" t="s">
        <v>609</v>
      </c>
      <c r="D141" s="13">
        <f>IF('Indicator Data'!I143="No data","x",IF('Indicator Data'!I143&gt;D$150,0,IF('Indicator Data'!I143&lt;D$149,10,(D$150-'Indicator Data'!I143)/(D$150-D$149)*10)))</f>
        <v>7.1692307692307704</v>
      </c>
      <c r="E141" s="13">
        <f>IF('Indicator Data'!J143="No data","x",IF('Indicator Data'!J143&gt;E$150,10,IF('Indicator Data'!J143&lt;E$149,0,10-(E$150-'Indicator Data'!J143)/(E$150-E$149)*10)))</f>
        <v>6.1808016666666674</v>
      </c>
      <c r="F141" s="144">
        <f>IF(OR('Indicator Data'!AG143=0,'Indicator Data'!AG143="No data"),"x",IF('Indicator Data'!AG143&gt;F$150,0,IF('Indicator Data'!AG143&lt;F$149,10,(F$150-'Indicator Data'!AG143)/(F$150-F$149)*10)))</f>
        <v>4.66</v>
      </c>
      <c r="G141" s="144">
        <f>IF(OR('Indicator Data'!AE143=0,'Indicator Data'!AE143="No data"),"x",IF('Indicator Data'!AE143&gt;G$150,0,IF('Indicator Data'!AE143&lt;G$149,10,(G$150-'Indicator Data'!AE143)/(G$150-G$149)*10)))</f>
        <v>9.33</v>
      </c>
      <c r="H141" s="144">
        <f>IF(OR('Indicator Data'!AF143=0,'Indicator Data'!AF143="No data"),"x",IF('Indicator Data'!AF143&gt;H$150,0,IF('Indicator Data'!AF143&lt;H$149,10,(H$150-'Indicator Data'!AF143)/(H$150-H$149)*10)))</f>
        <v>7.31</v>
      </c>
      <c r="I141" s="144">
        <f t="shared" si="34"/>
        <v>7.1000000000000005</v>
      </c>
      <c r="J141" s="49">
        <f t="shared" si="36"/>
        <v>6.70263179524237</v>
      </c>
      <c r="K141" s="13">
        <f>IF('Indicator Data'!K143="No data","x",IF('Indicator Data'!K143&gt;K$150,10,IF('Indicator Data'!K143&lt;K$149,0,10-(K$150-'Indicator Data'!K143)/(K$150-K$149)*10)))</f>
        <v>7.047403128504965</v>
      </c>
      <c r="L141" s="13">
        <f>IF('Indicator Data'!L143="No data","x",IF('Indicator Data'!L143&gt;L$150,10,IF('Indicator Data'!L143&lt;L$149,0,10-(L$150-'Indicator Data'!L143)/(L$150-L$149)*10)))</f>
        <v>1.5</v>
      </c>
      <c r="M141" s="13">
        <f>IF('Indicator Data'!M143="No data","x",IF('Indicator Data'!M143&gt;M$150,10,IF('Indicator Data'!M143&lt;M$149,0,10-(M$150-'Indicator Data'!M143)/(M$150-M$149)*10)))</f>
        <v>2.121048</v>
      </c>
      <c r="N141" s="144"/>
      <c r="O141" s="49">
        <f t="shared" si="37"/>
        <v>3.5561503761683215</v>
      </c>
      <c r="P141" s="42">
        <f t="shared" si="38"/>
        <v>5.6538046555510206</v>
      </c>
      <c r="Q141" s="33">
        <f>'Indicator Data'!AA143</f>
        <v>0</v>
      </c>
      <c r="R141" s="13">
        <f t="shared" si="39"/>
        <v>0</v>
      </c>
      <c r="S141" s="38">
        <f>Q141/'Indicator Data'!AN143</f>
        <v>0</v>
      </c>
      <c r="T141" s="13">
        <f t="shared" si="40"/>
        <v>0</v>
      </c>
      <c r="U141" s="14">
        <f t="shared" si="41"/>
        <v>0</v>
      </c>
      <c r="V141" s="33">
        <f>IF('Indicator Data'!Z143="",VLOOKUP($B141,'Indicator Data (national)'!$B$5:$AA$14,26,FALSE),'Indicator Data'!Z143)</f>
        <v>29800</v>
      </c>
      <c r="W141" s="13">
        <f t="shared" si="42"/>
        <v>4.9140542135875176</v>
      </c>
      <c r="X141" s="38">
        <f>IF('Indicator Data'!Z143="",V141/VLOOKUP($B141,'Indicator Data (national)'!$B$5:$AM$14,38,FALSE),V141/'Indicator Data'!AN143)</f>
        <v>7.9299870491070571E-4</v>
      </c>
      <c r="Y141" s="13">
        <f t="shared" si="43"/>
        <v>3.0125037348073413</v>
      </c>
      <c r="Z141" s="14">
        <f t="shared" si="44"/>
        <v>3.9632789741974292</v>
      </c>
      <c r="AA141" s="149">
        <f t="shared" si="45"/>
        <v>1.9816394870987146</v>
      </c>
      <c r="AB141" s="33">
        <f>VLOOKUP($B141,'Indicator Data (national)'!$B$5:$Z$14,25,FALSE)+VLOOKUP($B141,'Indicator Data (national)'!$B$5:$Z$14,24,FALSE)*0.5+VLOOKUP($B141,'Indicator Data (national)'!$B$5:$Z$14,23,FALSE)*0.25</f>
        <v>18906.25</v>
      </c>
      <c r="AC141" s="39">
        <f>AB141/VLOOKUP($B141,'Indicator Data (national)'!$B$5:$AM$14,38,FALSE)</f>
        <v>5.031084484804708E-4</v>
      </c>
      <c r="AD141" s="49">
        <f t="shared" si="46"/>
        <v>5.0310844848047154E-2</v>
      </c>
      <c r="AE141" s="13">
        <f>IF('Indicator Data'!V143="No data","x",IF(('Indicator Data'!V143)&gt;AE$150,10,IF(('Indicator Data'!V143)&lt;AE$149,0,10-(AE$150-('Indicator Data'!V143))/(AE$150-AE$149)*10)))</f>
        <v>0</v>
      </c>
      <c r="AF141" s="49">
        <f t="shared" si="47"/>
        <v>0</v>
      </c>
      <c r="AG141" s="34">
        <f t="shared" si="48"/>
        <v>2.5183962863371236E-2</v>
      </c>
      <c r="AH141" s="52">
        <f t="shared" si="35"/>
        <v>2.2094064239329843</v>
      </c>
    </row>
    <row r="142" spans="1:34" x14ac:dyDescent="0.25">
      <c r="A142" s="16" t="s">
        <v>564</v>
      </c>
      <c r="B142" s="11" t="s">
        <v>581</v>
      </c>
      <c r="C142" s="126" t="s">
        <v>610</v>
      </c>
      <c r="D142" s="13">
        <f>IF('Indicator Data'!I144="No data","x",IF('Indicator Data'!I144&gt;D$150,0,IF('Indicator Data'!I144&lt;D$149,10,(D$150-'Indicator Data'!I144)/(D$150-D$149)*10)))</f>
        <v>7.1692307692307704</v>
      </c>
      <c r="E142" s="13">
        <f>IF('Indicator Data'!J144="No data","x",IF('Indicator Data'!J144&gt;E$150,10,IF('Indicator Data'!J144&lt;E$149,0,10-(E$150-'Indicator Data'!J144)/(E$150-E$149)*10)))</f>
        <v>6.9565450000000002</v>
      </c>
      <c r="F142" s="144">
        <f>IF(OR('Indicator Data'!AG144=0,'Indicator Data'!AG144="No data"),"x",IF('Indicator Data'!AG144&gt;F$150,0,IF('Indicator Data'!AG144&lt;F$149,10,(F$150-'Indicator Data'!AG144)/(F$150-F$149)*10)))</f>
        <v>5.4600000000000009</v>
      </c>
      <c r="G142" s="144">
        <f>IF(OR('Indicator Data'!AE144=0,'Indicator Data'!AE144="No data"),"x",IF('Indicator Data'!AE144&gt;G$150,0,IF('Indicator Data'!AE144&lt;G$149,10,(G$150-'Indicator Data'!AE144)/(G$150-G$149)*10)))</f>
        <v>9.82</v>
      </c>
      <c r="H142" s="144">
        <f>IF(OR('Indicator Data'!AF144=0,'Indicator Data'!AF144="No data"),"x",IF('Indicator Data'!AF144&gt;H$150,0,IF('Indicator Data'!AF144&lt;H$149,10,(H$150-'Indicator Data'!AF144)/(H$150-H$149)*10)))</f>
        <v>8.07</v>
      </c>
      <c r="I142" s="144">
        <f t="shared" si="34"/>
        <v>7.7833333333333341</v>
      </c>
      <c r="J142" s="49">
        <f t="shared" si="36"/>
        <v>7.0642848877070055</v>
      </c>
      <c r="K142" s="13">
        <f>IF('Indicator Data'!K144="No data","x",IF('Indicator Data'!K144&gt;K$150,10,IF('Indicator Data'!K144&lt;K$149,0,10-(K$150-'Indicator Data'!K144)/(K$150-K$149)*10)))</f>
        <v>7.047403128504965</v>
      </c>
      <c r="L142" s="13">
        <f>IF('Indicator Data'!L144="No data","x",IF('Indicator Data'!L144&gt;L$150,10,IF('Indicator Data'!L144&lt;L$149,0,10-(L$150-'Indicator Data'!L144)/(L$150-L$149)*10)))</f>
        <v>2.4999999999999991</v>
      </c>
      <c r="M142" s="13">
        <f>IF('Indicator Data'!M144="No data","x",IF('Indicator Data'!M144&gt;M$150,10,IF('Indicator Data'!M144&lt;M$149,0,10-(M$150-'Indicator Data'!M144)/(M$150-M$149)*10)))</f>
        <v>2.3572879999999996</v>
      </c>
      <c r="N142" s="144"/>
      <c r="O142" s="49">
        <f t="shared" si="37"/>
        <v>3.9682303761683215</v>
      </c>
      <c r="P142" s="42">
        <f t="shared" si="38"/>
        <v>6.0322667171941111</v>
      </c>
      <c r="Q142" s="33">
        <f>'Indicator Data'!AA144</f>
        <v>0</v>
      </c>
      <c r="R142" s="13">
        <f t="shared" si="39"/>
        <v>0</v>
      </c>
      <c r="S142" s="38">
        <f>Q142/'Indicator Data'!AN144</f>
        <v>0</v>
      </c>
      <c r="T142" s="13">
        <f t="shared" si="40"/>
        <v>0</v>
      </c>
      <c r="U142" s="14">
        <f t="shared" si="41"/>
        <v>0</v>
      </c>
      <c r="V142" s="33">
        <f>IF('Indicator Data'!Z144="",VLOOKUP($B142,'Indicator Data (national)'!$B$5:$AA$14,26,FALSE),'Indicator Data'!Z144)</f>
        <v>29800</v>
      </c>
      <c r="W142" s="13">
        <f t="shared" si="42"/>
        <v>4.9140542135875176</v>
      </c>
      <c r="X142" s="38">
        <f>IF('Indicator Data'!Z144="",V142/VLOOKUP($B142,'Indicator Data (national)'!$B$5:$AM$14,38,FALSE),V142/'Indicator Data'!AN144)</f>
        <v>7.9299870491070571E-4</v>
      </c>
      <c r="Y142" s="13">
        <f t="shared" si="43"/>
        <v>3.0125037348073413</v>
      </c>
      <c r="Z142" s="14">
        <f t="shared" si="44"/>
        <v>3.9632789741974292</v>
      </c>
      <c r="AA142" s="149">
        <f t="shared" si="45"/>
        <v>1.9816394870987146</v>
      </c>
      <c r="AB142" s="33">
        <f>VLOOKUP($B142,'Indicator Data (national)'!$B$5:$Z$14,25,FALSE)+VLOOKUP($B142,'Indicator Data (national)'!$B$5:$Z$14,24,FALSE)*0.5+VLOOKUP($B142,'Indicator Data (national)'!$B$5:$Z$14,23,FALSE)*0.25</f>
        <v>18906.25</v>
      </c>
      <c r="AC142" s="39">
        <f>AB142/VLOOKUP($B142,'Indicator Data (national)'!$B$5:$AM$14,38,FALSE)</f>
        <v>5.031084484804708E-4</v>
      </c>
      <c r="AD142" s="49">
        <f t="shared" si="46"/>
        <v>5.0310844848047154E-2</v>
      </c>
      <c r="AE142" s="13">
        <f>IF('Indicator Data'!V144="No data","x",IF(('Indicator Data'!V144)&gt;AE$150,10,IF(('Indicator Data'!V144)&lt;AE$149,0,10-(AE$150-('Indicator Data'!V144))/(AE$150-AE$149)*10)))</f>
        <v>0</v>
      </c>
      <c r="AF142" s="49">
        <f t="shared" si="47"/>
        <v>0</v>
      </c>
      <c r="AG142" s="34">
        <f t="shared" si="48"/>
        <v>2.5183962863371236E-2</v>
      </c>
      <c r="AH142" s="52">
        <f t="shared" si="35"/>
        <v>2.2094064239329843</v>
      </c>
    </row>
    <row r="143" spans="1:34" x14ac:dyDescent="0.25">
      <c r="A143" s="16" t="s">
        <v>565</v>
      </c>
      <c r="B143" s="11" t="s">
        <v>581</v>
      </c>
      <c r="C143" s="126" t="s">
        <v>611</v>
      </c>
      <c r="D143" s="13">
        <f>IF('Indicator Data'!I145="No data","x",IF('Indicator Data'!I145&gt;D$150,0,IF('Indicator Data'!I145&lt;D$149,10,(D$150-'Indicator Data'!I145)/(D$150-D$149)*10)))</f>
        <v>7.1692307692307704</v>
      </c>
      <c r="E143" s="13">
        <f>IF('Indicator Data'!J145="No data","x",IF('Indicator Data'!J145&gt;E$150,10,IF('Indicator Data'!J145&lt;E$149,0,10-(E$150-'Indicator Data'!J145)/(E$150-E$149)*10)))</f>
        <v>1.2679400000000012</v>
      </c>
      <c r="F143" s="144">
        <f>IF(OR('Indicator Data'!AG145=0,'Indicator Data'!AG145="No data"),"x",IF('Indicator Data'!AG145&gt;F$150,0,IF('Indicator Data'!AG145&lt;F$149,10,(F$150-'Indicator Data'!AG145)/(F$150-F$149)*10)))</f>
        <v>0.82000000000000028</v>
      </c>
      <c r="G143" s="144">
        <f>IF(OR('Indicator Data'!AE145=0,'Indicator Data'!AE145="No data"),"x",IF('Indicator Data'!AE145&gt;G$150,0,IF('Indicator Data'!AE145&lt;G$149,10,(G$150-'Indicator Data'!AE145)/(G$150-G$149)*10)))</f>
        <v>1.5099999999999993</v>
      </c>
      <c r="H143" s="144">
        <f>IF(OR('Indicator Data'!AF145=0,'Indicator Data'!AF145="No data"),"x",IF('Indicator Data'!AF145&gt;H$150,0,IF('Indicator Data'!AF145&lt;H$149,10,(H$150-'Indicator Data'!AF145)/(H$150-H$149)*10)))</f>
        <v>7.27</v>
      </c>
      <c r="I143" s="144">
        <f t="shared" si="34"/>
        <v>3.1999999999999997</v>
      </c>
      <c r="J143" s="49">
        <f t="shared" si="36"/>
        <v>4.8820981311396165</v>
      </c>
      <c r="K143" s="13">
        <f>IF('Indicator Data'!K145="No data","x",IF('Indicator Data'!K145&gt;K$150,10,IF('Indicator Data'!K145&lt;K$149,0,10-(K$150-'Indicator Data'!K145)/(K$150-K$149)*10)))</f>
        <v>7.047403128504965</v>
      </c>
      <c r="L143" s="13">
        <f>IF('Indicator Data'!L145="No data","x",IF('Indicator Data'!L145&gt;L$150,10,IF('Indicator Data'!L145&lt;L$149,0,10-(L$150-'Indicator Data'!L145)/(L$150-L$149)*10)))</f>
        <v>0</v>
      </c>
      <c r="M143" s="13">
        <f>IF('Indicator Data'!M145="No data","x",IF('Indicator Data'!M145&gt;M$150,10,IF('Indicator Data'!M145&lt;M$149,0,10-(M$150-'Indicator Data'!M145)/(M$150-M$149)*10)))</f>
        <v>0.83022399999999941</v>
      </c>
      <c r="N143" s="144"/>
      <c r="O143" s="49">
        <f t="shared" si="37"/>
        <v>2.6258757095016549</v>
      </c>
      <c r="P143" s="42">
        <f t="shared" si="38"/>
        <v>4.1300239905936289</v>
      </c>
      <c r="Q143" s="33">
        <f>'Indicator Data'!AA145</f>
        <v>61922</v>
      </c>
      <c r="R143" s="13">
        <f t="shared" si="39"/>
        <v>5.972816583492806</v>
      </c>
      <c r="S143" s="38">
        <f>Q143/'Indicator Data'!AN145</f>
        <v>3.6565461399646643E-2</v>
      </c>
      <c r="T143" s="13">
        <f t="shared" si="40"/>
        <v>7.749721653997578</v>
      </c>
      <c r="U143" s="14">
        <f t="shared" si="41"/>
        <v>6.8612691187451915</v>
      </c>
      <c r="V143" s="33">
        <f>IF('Indicator Data'!Z145="",VLOOKUP($B143,'Indicator Data (national)'!$B$5:$AA$14,26,FALSE),'Indicator Data'!Z145)</f>
        <v>29800</v>
      </c>
      <c r="W143" s="13">
        <f t="shared" si="42"/>
        <v>4.9140542135875176</v>
      </c>
      <c r="X143" s="38">
        <f>IF('Indicator Data'!Z145="",V143/VLOOKUP($B143,'Indicator Data (national)'!$B$5:$AM$14,38,FALSE),V143/'Indicator Data'!AN145)</f>
        <v>7.9299870491070571E-4</v>
      </c>
      <c r="Y143" s="13">
        <f t="shared" si="43"/>
        <v>3.0125037348073413</v>
      </c>
      <c r="Z143" s="14">
        <f t="shared" si="44"/>
        <v>3.9632789741974292</v>
      </c>
      <c r="AA143" s="149">
        <f t="shared" si="45"/>
        <v>5.4122740464713104</v>
      </c>
      <c r="AB143" s="33">
        <f>VLOOKUP($B143,'Indicator Data (national)'!$B$5:$Z$14,25,FALSE)+VLOOKUP($B143,'Indicator Data (national)'!$B$5:$Z$14,24,FALSE)*0.5+VLOOKUP($B143,'Indicator Data (national)'!$B$5:$Z$14,23,FALSE)*0.25</f>
        <v>18906.25</v>
      </c>
      <c r="AC143" s="39">
        <f>AB143/VLOOKUP($B143,'Indicator Data (national)'!$B$5:$AM$14,38,FALSE)</f>
        <v>5.031084484804708E-4</v>
      </c>
      <c r="AD143" s="49">
        <f t="shared" si="46"/>
        <v>5.0310844848047154E-2</v>
      </c>
      <c r="AE143" s="13">
        <f>IF('Indicator Data'!V145="No data","x",IF(('Indicator Data'!V145)&gt;AE$150,10,IF(('Indicator Data'!V145)&lt;AE$149,0,10-(AE$150-('Indicator Data'!V145))/(AE$150-AE$149)*10)))</f>
        <v>0</v>
      </c>
      <c r="AF143" s="49">
        <f t="shared" si="47"/>
        <v>0</v>
      </c>
      <c r="AG143" s="34">
        <f t="shared" si="48"/>
        <v>2.5183962863371236E-2</v>
      </c>
      <c r="AH143" s="52">
        <f t="shared" si="35"/>
        <v>2.2094064239329843</v>
      </c>
    </row>
    <row r="144" spans="1:34" x14ac:dyDescent="0.25">
      <c r="A144" s="16" t="s">
        <v>566</v>
      </c>
      <c r="B144" s="11" t="s">
        <v>581</v>
      </c>
      <c r="C144" s="126" t="s">
        <v>612</v>
      </c>
      <c r="D144" s="13">
        <f>IF('Indicator Data'!I146="No data","x",IF('Indicator Data'!I146&gt;D$150,0,IF('Indicator Data'!I146&lt;D$149,10,(D$150-'Indicator Data'!I146)/(D$150-D$149)*10)))</f>
        <v>7.1692307692307704</v>
      </c>
      <c r="E144" s="13">
        <f>IF('Indicator Data'!J146="No data","x",IF('Indicator Data'!J146&gt;E$150,10,IF('Indicator Data'!J146&lt;E$149,0,10-(E$150-'Indicator Data'!J146)/(E$150-E$149)*10)))</f>
        <v>10</v>
      </c>
      <c r="F144" s="144">
        <f>IF(OR('Indicator Data'!AG146=0,'Indicator Data'!AG146="No data"),"x",IF('Indicator Data'!AG146&gt;F$150,0,IF('Indicator Data'!AG146&lt;F$149,10,(F$150-'Indicator Data'!AG146)/(F$150-F$149)*10)))</f>
        <v>5.5399999999999991</v>
      </c>
      <c r="G144" s="144">
        <f>IF(OR('Indicator Data'!AE146=0,'Indicator Data'!AE146="No data"),"x",IF('Indicator Data'!AE146&gt;G$150,0,IF('Indicator Data'!AE146&lt;G$149,10,(G$150-'Indicator Data'!AE146)/(G$150-G$149)*10)))</f>
        <v>9.879999999999999</v>
      </c>
      <c r="H144" s="144">
        <f>IF(OR('Indicator Data'!AF146=0,'Indicator Data'!AF146="No data"),"x",IF('Indicator Data'!AF146&gt;H$150,0,IF('Indicator Data'!AF146&lt;H$149,10,(H$150-'Indicator Data'!AF146)/(H$150-H$149)*10)))</f>
        <v>9.9600000000000009</v>
      </c>
      <c r="I144" s="144">
        <f t="shared" si="34"/>
        <v>8.4599999999999991</v>
      </c>
      <c r="J144" s="49">
        <f t="shared" si="36"/>
        <v>9.0182979215182808</v>
      </c>
      <c r="K144" s="13">
        <f>IF('Indicator Data'!K146="No data","x",IF('Indicator Data'!K146&gt;K$150,10,IF('Indicator Data'!K146&lt;K$149,0,10-(K$150-'Indicator Data'!K146)/(K$150-K$149)*10)))</f>
        <v>7.047403128504965</v>
      </c>
      <c r="L144" s="13">
        <f>IF('Indicator Data'!L146="No data","x",IF('Indicator Data'!L146&gt;L$150,10,IF('Indicator Data'!L146&lt;L$149,0,10-(L$150-'Indicator Data'!L146)/(L$150-L$149)*10)))</f>
        <v>7.7500000000000009</v>
      </c>
      <c r="M144" s="13">
        <f>IF('Indicator Data'!M146="No data","x",IF('Indicator Data'!M146&gt;M$150,10,IF('Indicator Data'!M146&lt;M$149,0,10-(M$150-'Indicator Data'!M146)/(M$150-M$149)*10)))</f>
        <v>3.1520840000000003</v>
      </c>
      <c r="N144" s="144"/>
      <c r="O144" s="49">
        <f t="shared" si="37"/>
        <v>5.9831623761683224</v>
      </c>
      <c r="P144" s="42">
        <f t="shared" si="38"/>
        <v>8.006586073068295</v>
      </c>
      <c r="Q144" s="33">
        <f>'Indicator Data'!AA146</f>
        <v>0</v>
      </c>
      <c r="R144" s="13">
        <f t="shared" si="39"/>
        <v>0</v>
      </c>
      <c r="S144" s="38">
        <f>Q144/'Indicator Data'!AN146</f>
        <v>0</v>
      </c>
      <c r="T144" s="13">
        <f t="shared" si="40"/>
        <v>0</v>
      </c>
      <c r="U144" s="14">
        <f t="shared" si="41"/>
        <v>0</v>
      </c>
      <c r="V144" s="33">
        <f>IF('Indicator Data'!Z146="",VLOOKUP($B144,'Indicator Data (national)'!$B$5:$AA$14,26,FALSE),'Indicator Data'!Z146)</f>
        <v>29800</v>
      </c>
      <c r="W144" s="13">
        <f t="shared" si="42"/>
        <v>4.9140542135875176</v>
      </c>
      <c r="X144" s="38">
        <f>IF('Indicator Data'!Z146="",V144/VLOOKUP($B144,'Indicator Data (national)'!$B$5:$AM$14,38,FALSE),V144/'Indicator Data'!AN146)</f>
        <v>7.9299870491070571E-4</v>
      </c>
      <c r="Y144" s="13">
        <f t="shared" si="43"/>
        <v>3.0125037348073413</v>
      </c>
      <c r="Z144" s="14">
        <f t="shared" si="44"/>
        <v>3.9632789741974292</v>
      </c>
      <c r="AA144" s="149">
        <f t="shared" si="45"/>
        <v>1.9816394870987146</v>
      </c>
      <c r="AB144" s="33">
        <f>VLOOKUP($B144,'Indicator Data (national)'!$B$5:$Z$14,25,FALSE)+VLOOKUP($B144,'Indicator Data (national)'!$B$5:$Z$14,24,FALSE)*0.5+VLOOKUP($B144,'Indicator Data (national)'!$B$5:$Z$14,23,FALSE)*0.25</f>
        <v>18906.25</v>
      </c>
      <c r="AC144" s="39">
        <f>AB144/VLOOKUP($B144,'Indicator Data (national)'!$B$5:$AM$14,38,FALSE)</f>
        <v>5.031084484804708E-4</v>
      </c>
      <c r="AD144" s="49">
        <f t="shared" si="46"/>
        <v>5.0310844848047154E-2</v>
      </c>
      <c r="AE144" s="13">
        <f>IF('Indicator Data'!V146="No data","x",IF(('Indicator Data'!V146)&gt;AE$150,10,IF(('Indicator Data'!V146)&lt;AE$149,0,10-(AE$150-('Indicator Data'!V146))/(AE$150-AE$149)*10)))</f>
        <v>3.6842105263157894</v>
      </c>
      <c r="AF144" s="49">
        <f t="shared" si="47"/>
        <v>3.6842105263157894</v>
      </c>
      <c r="AG144" s="34">
        <f t="shared" si="48"/>
        <v>2.0475872949668963</v>
      </c>
      <c r="AH144" s="52">
        <f t="shared" si="35"/>
        <v>3.0622262935281097</v>
      </c>
    </row>
    <row r="145" spans="1:34" x14ac:dyDescent="0.25">
      <c r="A145" s="16" t="s">
        <v>567</v>
      </c>
      <c r="B145" s="11" t="s">
        <v>581</v>
      </c>
      <c r="C145" s="126" t="s">
        <v>613</v>
      </c>
      <c r="D145" s="13">
        <f>IF('Indicator Data'!I147="No data","x",IF('Indicator Data'!I147&gt;D$150,0,IF('Indicator Data'!I147&lt;D$149,10,(D$150-'Indicator Data'!I147)/(D$150-D$149)*10)))</f>
        <v>7.1692307692307704</v>
      </c>
      <c r="E145" s="13">
        <f>IF('Indicator Data'!J147="No data","x",IF('Indicator Data'!J147&gt;E$150,10,IF('Indicator Data'!J147&lt;E$149,0,10-(E$150-'Indicator Data'!J147)/(E$150-E$149)*10)))</f>
        <v>7.177926666666667</v>
      </c>
      <c r="F145" s="144">
        <f>IF(OR('Indicator Data'!AG147=0,'Indicator Data'!AG147="No data"),"x",IF('Indicator Data'!AG147&gt;F$150,0,IF('Indicator Data'!AG147&lt;F$149,10,(F$150-'Indicator Data'!AG147)/(F$150-F$149)*10)))</f>
        <v>5.59</v>
      </c>
      <c r="G145" s="144">
        <f>IF(OR('Indicator Data'!AE147=0,'Indicator Data'!AE147="No data"),"x",IF('Indicator Data'!AE147&gt;G$150,0,IF('Indicator Data'!AE147&lt;G$149,10,(G$150-'Indicator Data'!AE147)/(G$150-G$149)*10)))</f>
        <v>9.8000000000000007</v>
      </c>
      <c r="H145" s="144">
        <f>IF(OR('Indicator Data'!AF147=0,'Indicator Data'!AF147="No data"),"x",IF('Indicator Data'!AF147&gt;H$150,0,IF('Indicator Data'!AF147&lt;H$149,10,(H$150-'Indicator Data'!AF147)/(H$150-H$149)*10)))</f>
        <v>9.73</v>
      </c>
      <c r="I145" s="144">
        <f t="shared" si="34"/>
        <v>8.3733333333333331</v>
      </c>
      <c r="J145" s="49">
        <f t="shared" si="36"/>
        <v>7.1735811185212004</v>
      </c>
      <c r="K145" s="13">
        <f>IF('Indicator Data'!K147="No data","x",IF('Indicator Data'!K147&gt;K$150,10,IF('Indicator Data'!K147&lt;K$149,0,10-(K$150-'Indicator Data'!K147)/(K$150-K$149)*10)))</f>
        <v>7.047403128504965</v>
      </c>
      <c r="L145" s="13">
        <f>IF('Indicator Data'!L147="No data","x",IF('Indicator Data'!L147&gt;L$150,10,IF('Indicator Data'!L147&lt;L$149,0,10-(L$150-'Indicator Data'!L147)/(L$150-L$149)*10)))</f>
        <v>2.2500000000000009</v>
      </c>
      <c r="M145" s="13">
        <f>IF('Indicator Data'!M147="No data","x",IF('Indicator Data'!M147&gt;M$150,10,IF('Indicator Data'!M147&lt;M$149,0,10-(M$150-'Indicator Data'!M147)/(M$150-M$149)*10)))</f>
        <v>2.5820560000000006</v>
      </c>
      <c r="N145" s="144"/>
      <c r="O145" s="49">
        <f t="shared" si="37"/>
        <v>3.9598197095016552</v>
      </c>
      <c r="P145" s="42">
        <f t="shared" si="38"/>
        <v>6.1023273155146853</v>
      </c>
      <c r="Q145" s="33">
        <f>'Indicator Data'!AA147</f>
        <v>114343</v>
      </c>
      <c r="R145" s="13">
        <f t="shared" si="39"/>
        <v>6.8606986084879411</v>
      </c>
      <c r="S145" s="38">
        <f>Q145/'Indicator Data'!AN147</f>
        <v>3.1644814679000641E-2</v>
      </c>
      <c r="T145" s="13">
        <f t="shared" si="40"/>
        <v>7.4783349016770124</v>
      </c>
      <c r="U145" s="14">
        <f t="shared" si="41"/>
        <v>7.1695167550824763</v>
      </c>
      <c r="V145" s="33">
        <f>IF('Indicator Data'!Z147="",VLOOKUP($B145,'Indicator Data (national)'!$B$5:$AA$14,26,FALSE),'Indicator Data'!Z147)</f>
        <v>29800</v>
      </c>
      <c r="W145" s="13">
        <f t="shared" si="42"/>
        <v>4.9140542135875176</v>
      </c>
      <c r="X145" s="38">
        <f>IF('Indicator Data'!Z147="",V145/VLOOKUP($B145,'Indicator Data (national)'!$B$5:$AM$14,38,FALSE),V145/'Indicator Data'!AN147)</f>
        <v>7.9299870491070571E-4</v>
      </c>
      <c r="Y145" s="13">
        <f t="shared" si="43"/>
        <v>3.0125037348073413</v>
      </c>
      <c r="Z145" s="14">
        <f t="shared" si="44"/>
        <v>3.9632789741974292</v>
      </c>
      <c r="AA145" s="149">
        <f t="shared" si="45"/>
        <v>5.5663978646399528</v>
      </c>
      <c r="AB145" s="33">
        <f>VLOOKUP($B145,'Indicator Data (national)'!$B$5:$Z$14,25,FALSE)+VLOOKUP($B145,'Indicator Data (national)'!$B$5:$Z$14,24,FALSE)*0.5+VLOOKUP($B145,'Indicator Data (national)'!$B$5:$Z$14,23,FALSE)*0.25</f>
        <v>18906.25</v>
      </c>
      <c r="AC145" s="39">
        <f>AB145/VLOOKUP($B145,'Indicator Data (national)'!$B$5:$AM$14,38,FALSE)</f>
        <v>5.031084484804708E-4</v>
      </c>
      <c r="AD145" s="49">
        <f t="shared" si="46"/>
        <v>5.0310844848047154E-2</v>
      </c>
      <c r="AE145" s="13">
        <f>IF('Indicator Data'!V147="No data","x",IF(('Indicator Data'!V147)&gt;AE$150,10,IF(('Indicator Data'!V147)&lt;AE$149,0,10-(AE$150-('Indicator Data'!V147))/(AE$150-AE$149)*10)))</f>
        <v>0</v>
      </c>
      <c r="AF145" s="49">
        <f t="shared" si="47"/>
        <v>0</v>
      </c>
      <c r="AG145" s="34">
        <f t="shared" si="48"/>
        <v>2.5183962863371236E-2</v>
      </c>
      <c r="AH145" s="52">
        <f t="shared" si="35"/>
        <v>2.2094064239329843</v>
      </c>
    </row>
    <row r="146" spans="1:34" x14ac:dyDescent="0.25">
      <c r="A146" s="16" t="s">
        <v>568</v>
      </c>
      <c r="B146" s="11" t="s">
        <v>581</v>
      </c>
      <c r="C146" s="126" t="s">
        <v>614</v>
      </c>
      <c r="D146" s="13">
        <f>IF('Indicator Data'!I148="No data","x",IF('Indicator Data'!I148&gt;D$150,0,IF('Indicator Data'!I148&lt;D$149,10,(D$150-'Indicator Data'!I148)/(D$150-D$149)*10)))</f>
        <v>7.1692307692307704</v>
      </c>
      <c r="E146" s="13">
        <f>IF('Indicator Data'!J148="No data","x",IF('Indicator Data'!J148&gt;E$150,10,IF('Indicator Data'!J148&lt;E$149,0,10-(E$150-'Indicator Data'!J148)/(E$150-E$149)*10)))</f>
        <v>6.6690333333333331</v>
      </c>
      <c r="F146" s="144">
        <f>IF(OR('Indicator Data'!AG148=0,'Indicator Data'!AG148="No data"),"x",IF('Indicator Data'!AG148&gt;F$150,0,IF('Indicator Data'!AG148&lt;F$149,10,(F$150-'Indicator Data'!AG148)/(F$150-F$149)*10)))</f>
        <v>6.6599999999999993</v>
      </c>
      <c r="G146" s="144">
        <f>IF(OR('Indicator Data'!AE148=0,'Indicator Data'!AE148="No data"),"x",IF('Indicator Data'!AE148&gt;G$150,0,IF('Indicator Data'!AE148&lt;G$149,10,(G$150-'Indicator Data'!AE148)/(G$150-G$149)*10)))</f>
        <v>9.25</v>
      </c>
      <c r="H146" s="144">
        <f>IF(OR('Indicator Data'!AF148=0,'Indicator Data'!AF148="No data"),"x",IF('Indicator Data'!AF148&gt;H$150,0,IF('Indicator Data'!AF148&lt;H$149,10,(H$150-'Indicator Data'!AF148)/(H$150-H$149)*10)))</f>
        <v>9.18</v>
      </c>
      <c r="I146" s="144">
        <f t="shared" si="34"/>
        <v>8.3633333333333333</v>
      </c>
      <c r="J146" s="49">
        <f t="shared" si="36"/>
        <v>6.9265993033459896</v>
      </c>
      <c r="K146" s="13">
        <f>IF('Indicator Data'!K148="No data","x",IF('Indicator Data'!K148&gt;K$150,10,IF('Indicator Data'!K148&lt;K$149,0,10-(K$150-'Indicator Data'!K148)/(K$150-K$149)*10)))</f>
        <v>7.047403128504965</v>
      </c>
      <c r="L146" s="13">
        <f>IF('Indicator Data'!L148="No data","x",IF('Indicator Data'!L148&gt;L$150,10,IF('Indicator Data'!L148&lt;L$149,0,10-(L$150-'Indicator Data'!L148)/(L$150-L$149)*10)))</f>
        <v>0.75</v>
      </c>
      <c r="M146" s="13">
        <f>IF('Indicator Data'!M148="No data","x",IF('Indicator Data'!M148&gt;M$150,10,IF('Indicator Data'!M148&lt;M$149,0,10-(M$150-'Indicator Data'!M148)/(M$150-M$149)*10)))</f>
        <v>2.6479520000000001</v>
      </c>
      <c r="N146" s="144"/>
      <c r="O146" s="49">
        <f t="shared" si="37"/>
        <v>3.4817850428349879</v>
      </c>
      <c r="P146" s="42">
        <f t="shared" si="38"/>
        <v>5.7783278831756562</v>
      </c>
      <c r="Q146" s="33">
        <f>'Indicator Data'!AA148</f>
        <v>0</v>
      </c>
      <c r="R146" s="13">
        <f t="shared" si="39"/>
        <v>0</v>
      </c>
      <c r="S146" s="38">
        <f>Q146/'Indicator Data'!AN148</f>
        <v>0</v>
      </c>
      <c r="T146" s="13">
        <f t="shared" si="40"/>
        <v>0</v>
      </c>
      <c r="U146" s="14">
        <f t="shared" si="41"/>
        <v>0</v>
      </c>
      <c r="V146" s="33">
        <f>IF('Indicator Data'!Z148="",VLOOKUP($B146,'Indicator Data (national)'!$B$5:$AA$14,26,FALSE),'Indicator Data'!Z148)</f>
        <v>29800</v>
      </c>
      <c r="W146" s="13">
        <f t="shared" si="42"/>
        <v>4.9140542135875176</v>
      </c>
      <c r="X146" s="38">
        <f>IF('Indicator Data'!Z148="",V146/VLOOKUP($B146,'Indicator Data (national)'!$B$5:$AM$14,38,FALSE),V146/'Indicator Data'!AN148)</f>
        <v>7.9299870491070571E-4</v>
      </c>
      <c r="Y146" s="13">
        <f t="shared" si="43"/>
        <v>3.0125037348073413</v>
      </c>
      <c r="Z146" s="14">
        <f t="shared" si="44"/>
        <v>3.9632789741974292</v>
      </c>
      <c r="AA146" s="149">
        <f t="shared" si="45"/>
        <v>1.9816394870987146</v>
      </c>
      <c r="AB146" s="33">
        <f>VLOOKUP($B146,'Indicator Data (national)'!$B$5:$Z$14,25,FALSE)+VLOOKUP($B146,'Indicator Data (national)'!$B$5:$Z$14,24,FALSE)*0.5+VLOOKUP($B146,'Indicator Data (national)'!$B$5:$Z$14,23,FALSE)*0.25</f>
        <v>18906.25</v>
      </c>
      <c r="AC146" s="39">
        <f>AB146/VLOOKUP($B146,'Indicator Data (national)'!$B$5:$AM$14,38,FALSE)</f>
        <v>5.031084484804708E-4</v>
      </c>
      <c r="AD146" s="49">
        <f t="shared" si="46"/>
        <v>5.0310844848047154E-2</v>
      </c>
      <c r="AE146" s="13">
        <f>IF('Indicator Data'!V148="No data","x",IF(('Indicator Data'!V148)&gt;AE$150,10,IF(('Indicator Data'!V148)&lt;AE$149,0,10-(AE$150-('Indicator Data'!V148))/(AE$150-AE$149)*10)))</f>
        <v>0</v>
      </c>
      <c r="AF146" s="49">
        <f t="shared" si="47"/>
        <v>0</v>
      </c>
      <c r="AG146" s="34">
        <f t="shared" si="48"/>
        <v>2.5183962863371236E-2</v>
      </c>
      <c r="AH146" s="52">
        <f t="shared" si="35"/>
        <v>2.2094064239329843</v>
      </c>
    </row>
    <row r="147" spans="1:34" x14ac:dyDescent="0.25">
      <c r="A147" s="16" t="s">
        <v>569</v>
      </c>
      <c r="B147" s="11" t="s">
        <v>581</v>
      </c>
      <c r="C147" s="126" t="s">
        <v>615</v>
      </c>
      <c r="D147" s="13">
        <f>IF('Indicator Data'!I149="No data","x",IF('Indicator Data'!I149&gt;D$150,0,IF('Indicator Data'!I149&lt;D$149,10,(D$150-'Indicator Data'!I149)/(D$150-D$149)*10)))</f>
        <v>7.1692307692307704</v>
      </c>
      <c r="E147" s="13">
        <f>IF('Indicator Data'!J149="No data","x",IF('Indicator Data'!J149&gt;E$150,10,IF('Indicator Data'!J149&lt;E$149,0,10-(E$150-'Indicator Data'!J149)/(E$150-E$149)*10)))</f>
        <v>8.0675100000000004</v>
      </c>
      <c r="F147" s="144">
        <f>IF(OR('Indicator Data'!AG149=0,'Indicator Data'!AG149="No data"),"x",IF('Indicator Data'!AG149&gt;F$150,0,IF('Indicator Data'!AG149&lt;F$149,10,(F$150-'Indicator Data'!AG149)/(F$150-F$149)*10)))</f>
        <v>5.6899999999999995</v>
      </c>
      <c r="G147" s="144">
        <f>IF(OR('Indicator Data'!AE149=0,'Indicator Data'!AE149="No data"),"x",IF('Indicator Data'!AE149&gt;G$150,0,IF('Indicator Data'!AE149&lt;G$149,10,(G$150-'Indicator Data'!AE149)/(G$150-G$149)*10)))</f>
        <v>9.77</v>
      </c>
      <c r="H147" s="144">
        <f>IF(OR('Indicator Data'!AF149=0,'Indicator Data'!AF149="No data"),"x",IF('Indicator Data'!AF149&gt;H$150,0,IF('Indicator Data'!AF149&lt;H$149,10,(H$150-'Indicator Data'!AF149)/(H$150-H$149)*10)))</f>
        <v>9.629999999999999</v>
      </c>
      <c r="I147" s="144">
        <f t="shared" si="34"/>
        <v>8.3633333333333315</v>
      </c>
      <c r="J147" s="49">
        <f t="shared" si="36"/>
        <v>7.6473687147406704</v>
      </c>
      <c r="K147" s="13">
        <f>IF('Indicator Data'!K149="No data","x",IF('Indicator Data'!K149&gt;K$150,10,IF('Indicator Data'!K149&lt;K$149,0,10-(K$150-'Indicator Data'!K149)/(K$150-K$149)*10)))</f>
        <v>7.047403128504965</v>
      </c>
      <c r="L147" s="13">
        <f>IF('Indicator Data'!L149="No data","x",IF('Indicator Data'!L149&gt;L$150,10,IF('Indicator Data'!L149&lt;L$149,0,10-(L$150-'Indicator Data'!L149)/(L$150-L$149)*10)))</f>
        <v>1.5</v>
      </c>
      <c r="M147" s="13">
        <f>IF('Indicator Data'!M149="No data","x",IF('Indicator Data'!M149&gt;M$150,10,IF('Indicator Data'!M149&lt;M$149,0,10-(M$150-'Indicator Data'!M149)/(M$150-M$149)*10)))</f>
        <v>2.8297439999999998</v>
      </c>
      <c r="N147" s="144"/>
      <c r="O147" s="49">
        <f t="shared" si="37"/>
        <v>3.7923823761683213</v>
      </c>
      <c r="P147" s="42">
        <f t="shared" si="38"/>
        <v>6.3623732685498879</v>
      </c>
      <c r="Q147" s="33">
        <f>'Indicator Data'!AA149</f>
        <v>0</v>
      </c>
      <c r="R147" s="13">
        <f t="shared" si="39"/>
        <v>0</v>
      </c>
      <c r="S147" s="38">
        <f>Q147/'Indicator Data'!AN149</f>
        <v>0</v>
      </c>
      <c r="T147" s="13">
        <f t="shared" si="40"/>
        <v>0</v>
      </c>
      <c r="U147" s="14">
        <f t="shared" si="41"/>
        <v>0</v>
      </c>
      <c r="V147" s="33">
        <f>IF('Indicator Data'!Z149="",VLOOKUP($B147,'Indicator Data (national)'!$B$5:$AA$14,26,FALSE),'Indicator Data'!Z149)</f>
        <v>29800</v>
      </c>
      <c r="W147" s="13">
        <f t="shared" si="42"/>
        <v>4.9140542135875176</v>
      </c>
      <c r="X147" s="38">
        <f>IF('Indicator Data'!Z149="",V147/VLOOKUP($B147,'Indicator Data (national)'!$B$5:$AM$14,38,FALSE),V147/'Indicator Data'!AN149)</f>
        <v>7.9299870491070571E-4</v>
      </c>
      <c r="Y147" s="13">
        <f t="shared" si="43"/>
        <v>3.0125037348073413</v>
      </c>
      <c r="Z147" s="14">
        <f t="shared" si="44"/>
        <v>3.9632789741974292</v>
      </c>
      <c r="AA147" s="149">
        <f t="shared" si="45"/>
        <v>1.9816394870987146</v>
      </c>
      <c r="AB147" s="33">
        <f>VLOOKUP($B147,'Indicator Data (national)'!$B$5:$Z$14,25,FALSE)+VLOOKUP($B147,'Indicator Data (national)'!$B$5:$Z$14,24,FALSE)*0.5+VLOOKUP($B147,'Indicator Data (national)'!$B$5:$Z$14,23,FALSE)*0.25</f>
        <v>18906.25</v>
      </c>
      <c r="AC147" s="39">
        <f>AB147/VLOOKUP($B147,'Indicator Data (national)'!$B$5:$AM$14,38,FALSE)</f>
        <v>5.031084484804708E-4</v>
      </c>
      <c r="AD147" s="49">
        <f t="shared" si="46"/>
        <v>5.0310844848047154E-2</v>
      </c>
      <c r="AE147" s="13">
        <f>IF('Indicator Data'!V149="No data","x",IF(('Indicator Data'!V149)&gt;AE$150,10,IF(('Indicator Data'!V149)&lt;AE$149,0,10-(AE$150-('Indicator Data'!V149))/(AE$150-AE$149)*10)))</f>
        <v>0</v>
      </c>
      <c r="AF147" s="49">
        <f t="shared" si="47"/>
        <v>0</v>
      </c>
      <c r="AG147" s="34">
        <f t="shared" si="48"/>
        <v>2.5183962863371236E-2</v>
      </c>
      <c r="AH147" s="52">
        <f t="shared" si="35"/>
        <v>2.2094064239329843</v>
      </c>
    </row>
    <row r="148" spans="1:34" x14ac:dyDescent="0.25">
      <c r="A148" s="16" t="s">
        <v>570</v>
      </c>
      <c r="B148" s="11" t="s">
        <v>581</v>
      </c>
      <c r="C148" s="126" t="s">
        <v>616</v>
      </c>
      <c r="D148" s="13">
        <f>IF('Indicator Data'!I150="No data","x",IF('Indicator Data'!I150&gt;D$150,0,IF('Indicator Data'!I150&lt;D$149,10,(D$150-'Indicator Data'!I150)/(D$150-D$149)*10)))</f>
        <v>7.1692307692307704</v>
      </c>
      <c r="E148" s="13">
        <f>IF('Indicator Data'!J150="No data","x",IF('Indicator Data'!J150&gt;E$150,10,IF('Indicator Data'!J150&lt;E$149,0,10-(E$150-'Indicator Data'!J150)/(E$150-E$149)*10)))</f>
        <v>5.7599566666666666</v>
      </c>
      <c r="F148" s="144">
        <f>IF(OR('Indicator Data'!AG150=0,'Indicator Data'!AG150="No data"),"x",IF('Indicator Data'!AG150&gt;F$150,0,IF('Indicator Data'!AG150&lt;F$149,10,(F$150-'Indicator Data'!AG150)/(F$150-F$149)*10)))</f>
        <v>5.93</v>
      </c>
      <c r="G148" s="144">
        <f>IF(OR('Indicator Data'!AE150=0,'Indicator Data'!AE150="No data"),"x",IF('Indicator Data'!AE150&gt;G$150,0,IF('Indicator Data'!AE150&lt;G$149,10,(G$150-'Indicator Data'!AE150)/(G$150-G$149)*10)))</f>
        <v>9.2099999999999991</v>
      </c>
      <c r="H148" s="144">
        <f>IF(OR('Indicator Data'!AF150=0,'Indicator Data'!AF150="No data"),"x",IF('Indicator Data'!AF150&gt;H$150,0,IF('Indicator Data'!AF150&lt;H$149,10,(H$150-'Indicator Data'!AF150)/(H$150-H$149)*10)))</f>
        <v>7.25</v>
      </c>
      <c r="I148" s="144">
        <f t="shared" si="34"/>
        <v>7.4633333333333338</v>
      </c>
      <c r="J148" s="49">
        <f t="shared" si="36"/>
        <v>6.5183330290652153</v>
      </c>
      <c r="K148" s="13">
        <f>IF('Indicator Data'!K150="No data","x",IF('Indicator Data'!K150&gt;K$150,10,IF('Indicator Data'!K150&lt;K$149,0,10-(K$150-'Indicator Data'!K150)/(K$150-K$149)*10)))</f>
        <v>7.047403128504965</v>
      </c>
      <c r="L148" s="13">
        <f>IF('Indicator Data'!L150="No data","x",IF('Indicator Data'!L150&gt;L$150,10,IF('Indicator Data'!L150&lt;L$149,0,10-(L$150-'Indicator Data'!L150)/(L$150-L$149)*10)))</f>
        <v>2.4999999999999991</v>
      </c>
      <c r="M148" s="13">
        <f>IF('Indicator Data'!M150="No data","x",IF('Indicator Data'!M150&gt;M$150,10,IF('Indicator Data'!M150&lt;M$149,0,10-(M$150-'Indicator Data'!M150)/(M$150-M$149)*10)))</f>
        <v>1.8543733333333332</v>
      </c>
      <c r="N148" s="144"/>
      <c r="O148" s="49">
        <f t="shared" si="37"/>
        <v>3.800592153946099</v>
      </c>
      <c r="P148" s="42">
        <f t="shared" si="38"/>
        <v>5.61241940402551</v>
      </c>
      <c r="Q148" s="33">
        <f>'Indicator Data'!AA150</f>
        <v>229328</v>
      </c>
      <c r="R148" s="13">
        <f t="shared" si="39"/>
        <v>7.868190278422448</v>
      </c>
      <c r="S148" s="38">
        <f>Q148/'Indicator Data'!AN150</f>
        <v>5.429128107518176E-2</v>
      </c>
      <c r="T148" s="13">
        <f t="shared" si="40"/>
        <v>8.543267566413105</v>
      </c>
      <c r="U148" s="14">
        <f t="shared" si="41"/>
        <v>8.2057289224177765</v>
      </c>
      <c r="V148" s="33">
        <f>IF('Indicator Data'!Z150="",VLOOKUP($B148,'Indicator Data (national)'!$B$5:$AA$14,26,FALSE),'Indicator Data'!Z150)</f>
        <v>29800</v>
      </c>
      <c r="W148" s="13">
        <f t="shared" si="42"/>
        <v>4.9140542135875176</v>
      </c>
      <c r="X148" s="38">
        <f>IF('Indicator Data'!Z150="",V148/VLOOKUP($B148,'Indicator Data (national)'!$B$5:$AM$14,38,FALSE),V148/'Indicator Data'!AN150)</f>
        <v>7.9299870491070571E-4</v>
      </c>
      <c r="Y148" s="13">
        <f t="shared" si="43"/>
        <v>3.0125037348073413</v>
      </c>
      <c r="Z148" s="14">
        <f t="shared" si="44"/>
        <v>3.9632789741974292</v>
      </c>
      <c r="AA148" s="149">
        <f t="shared" si="45"/>
        <v>6.0845039483076029</v>
      </c>
      <c r="AB148" s="33">
        <f>VLOOKUP($B148,'Indicator Data (national)'!$B$5:$Z$14,25,FALSE)+VLOOKUP($B148,'Indicator Data (national)'!$B$5:$Z$14,24,FALSE)*0.5+VLOOKUP($B148,'Indicator Data (national)'!$B$5:$Z$14,23,FALSE)*0.25</f>
        <v>18906.25</v>
      </c>
      <c r="AC148" s="39">
        <f>AB148/VLOOKUP($B148,'Indicator Data (national)'!$B$5:$AM$14,38,FALSE)</f>
        <v>5.031084484804708E-4</v>
      </c>
      <c r="AD148" s="49">
        <f t="shared" si="46"/>
        <v>5.0310844848047154E-2</v>
      </c>
      <c r="AE148" s="13">
        <f>IF('Indicator Data'!V150="No data","x",IF(('Indicator Data'!V150)&gt;AE$150,10,IF(('Indicator Data'!V150)&lt;AE$149,0,10-(AE$150-('Indicator Data'!V150))/(AE$150-AE$149)*10)))</f>
        <v>0</v>
      </c>
      <c r="AF148" s="49">
        <f t="shared" si="47"/>
        <v>0</v>
      </c>
      <c r="AG148" s="34">
        <f t="shared" si="48"/>
        <v>2.5183962863371236E-2</v>
      </c>
      <c r="AH148" s="52">
        <f t="shared" si="35"/>
        <v>2.2094064239329843</v>
      </c>
    </row>
    <row r="149" spans="1:34" x14ac:dyDescent="0.25">
      <c r="D149" s="35">
        <v>0.3</v>
      </c>
      <c r="E149" s="35">
        <v>0</v>
      </c>
      <c r="F149" s="60">
        <v>0</v>
      </c>
      <c r="G149" s="60">
        <v>0</v>
      </c>
      <c r="H149" s="60">
        <v>0</v>
      </c>
      <c r="I149" s="35"/>
      <c r="J149" s="35"/>
      <c r="K149" s="35">
        <v>0</v>
      </c>
      <c r="L149" s="35">
        <v>0.25</v>
      </c>
      <c r="M149" s="35">
        <v>0</v>
      </c>
      <c r="N149" s="35"/>
      <c r="O149" s="35"/>
      <c r="P149" s="35"/>
      <c r="Q149" s="35"/>
      <c r="R149" s="35">
        <v>3</v>
      </c>
      <c r="S149" s="35"/>
      <c r="T149" s="37">
        <v>5.0000000000000002E-5</v>
      </c>
      <c r="U149" s="35"/>
      <c r="V149" s="35"/>
      <c r="W149" s="35">
        <v>3</v>
      </c>
      <c r="X149" s="35"/>
      <c r="Y149" s="37">
        <v>5.0000000000000002E-5</v>
      </c>
      <c r="Z149" s="35"/>
      <c r="AA149" s="143"/>
      <c r="AB149" s="35"/>
      <c r="AC149" s="35"/>
      <c r="AD149" s="40">
        <v>0</v>
      </c>
      <c r="AE149" s="35">
        <v>1</v>
      </c>
      <c r="AF149" s="35"/>
      <c r="AG149" s="35"/>
      <c r="AH149" s="35"/>
    </row>
    <row r="150" spans="1:34" x14ac:dyDescent="0.25">
      <c r="D150" s="35">
        <v>0.95</v>
      </c>
      <c r="E150" s="35">
        <v>0.6</v>
      </c>
      <c r="F150" s="60">
        <v>100</v>
      </c>
      <c r="G150" s="60">
        <v>100</v>
      </c>
      <c r="H150" s="60">
        <v>100</v>
      </c>
      <c r="I150" s="35"/>
      <c r="J150" s="35"/>
      <c r="K150" s="35">
        <v>0.75</v>
      </c>
      <c r="L150" s="35">
        <v>0.65</v>
      </c>
      <c r="M150" s="35">
        <v>0.75</v>
      </c>
      <c r="N150" s="35"/>
      <c r="O150" s="35"/>
      <c r="P150" s="35"/>
      <c r="Q150" s="35"/>
      <c r="R150" s="35">
        <v>6</v>
      </c>
      <c r="S150" s="35"/>
      <c r="T150" s="36">
        <v>0.1</v>
      </c>
      <c r="U150" s="35"/>
      <c r="V150" s="35"/>
      <c r="W150" s="35">
        <v>6</v>
      </c>
      <c r="X150" s="35"/>
      <c r="Y150" s="36">
        <v>0.1</v>
      </c>
      <c r="Z150" s="35"/>
      <c r="AA150" s="143"/>
      <c r="AB150" s="35"/>
      <c r="AC150" s="35"/>
      <c r="AD150" s="36">
        <v>0.1</v>
      </c>
      <c r="AE150" s="35">
        <v>20</v>
      </c>
      <c r="AF150" s="35"/>
      <c r="AG150" s="35"/>
      <c r="AH150" s="35"/>
    </row>
  </sheetData>
  <sortState ref="A4:AL193">
    <sortCondition ref="A3"/>
  </sortState>
  <mergeCells count="1">
    <mergeCell ref="A1:AH1"/>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50"/>
  <sheetViews>
    <sheetView showGridLines="0" workbookViewId="0">
      <pane xSplit="3" ySplit="2" topLeftCell="T91" activePane="bottomRight" state="frozen"/>
      <selection pane="topRight" activeCell="D1" sqref="D1"/>
      <selection pane="bottomLeft" activeCell="A3" sqref="A3"/>
      <selection pane="bottomRight" activeCell="T151" sqref="T151"/>
    </sheetView>
  </sheetViews>
  <sheetFormatPr defaultColWidth="8.85546875" defaultRowHeight="15" x14ac:dyDescent="0.25"/>
  <cols>
    <col min="1" max="1" width="49.42578125" style="8" bestFit="1" customWidth="1"/>
    <col min="2" max="3" width="8.140625" style="70" customWidth="1"/>
    <col min="4" max="5" width="8.85546875" style="8"/>
    <col min="6" max="6" width="8.85546875" style="71"/>
    <col min="7" max="8" width="8.85546875" style="8"/>
    <col min="9" max="10" width="8.85546875" style="71"/>
    <col min="11" max="12" width="8.85546875" style="8"/>
    <col min="13" max="13" width="8.85546875" style="71"/>
    <col min="14" max="15" width="9.85546875" style="27" customWidth="1"/>
    <col min="16" max="16" width="8.85546875" style="8"/>
    <col min="17" max="17" width="9.85546875" style="27" customWidth="1"/>
    <col min="18" max="18" width="8.85546875" style="10"/>
    <col min="19" max="21" width="8.85546875" style="8"/>
    <col min="22" max="22" width="8.85546875" style="71"/>
    <col min="23" max="16384" width="8.85546875" style="8"/>
  </cols>
  <sheetData>
    <row r="1" spans="1:50" x14ac:dyDescent="0.25">
      <c r="A1" s="169"/>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c r="AM1" s="169"/>
      <c r="AN1" s="169"/>
      <c r="AO1" s="169"/>
      <c r="AP1" s="169"/>
      <c r="AQ1" s="169"/>
      <c r="AR1" s="169"/>
      <c r="AS1" s="169"/>
      <c r="AT1" s="169"/>
      <c r="AU1" s="169"/>
      <c r="AV1" s="169"/>
      <c r="AW1" s="169"/>
      <c r="AX1" s="169"/>
    </row>
    <row r="2" spans="1:50" s="11" customFormat="1" ht="126.75" customHeight="1" thickBot="1" x14ac:dyDescent="0.3">
      <c r="A2" s="72" t="s">
        <v>14</v>
      </c>
      <c r="B2" s="161" t="s">
        <v>0</v>
      </c>
      <c r="C2" s="161" t="s">
        <v>271</v>
      </c>
      <c r="D2" s="119" t="s">
        <v>281</v>
      </c>
      <c r="E2" s="62" t="s">
        <v>280</v>
      </c>
      <c r="F2" s="63" t="s">
        <v>36</v>
      </c>
      <c r="G2" s="62" t="s">
        <v>33</v>
      </c>
      <c r="H2" s="62" t="s">
        <v>2</v>
      </c>
      <c r="I2" s="63" t="s">
        <v>37</v>
      </c>
      <c r="J2" s="64" t="s">
        <v>10</v>
      </c>
      <c r="K2" s="62" t="s">
        <v>5</v>
      </c>
      <c r="L2" s="62" t="s">
        <v>6</v>
      </c>
      <c r="M2" s="63" t="s">
        <v>731</v>
      </c>
      <c r="N2" s="62" t="s">
        <v>718</v>
      </c>
      <c r="O2" s="62" t="s">
        <v>587</v>
      </c>
      <c r="P2" s="157" t="s">
        <v>717</v>
      </c>
      <c r="Q2" s="62" t="s">
        <v>74</v>
      </c>
      <c r="R2" s="157" t="s">
        <v>711</v>
      </c>
      <c r="S2" s="63" t="s">
        <v>732</v>
      </c>
      <c r="T2" s="62" t="s">
        <v>719</v>
      </c>
      <c r="U2" s="63" t="s">
        <v>720</v>
      </c>
      <c r="V2" s="64" t="s">
        <v>11</v>
      </c>
      <c r="W2" s="62" t="s">
        <v>722</v>
      </c>
      <c r="X2" s="62" t="s">
        <v>723</v>
      </c>
      <c r="Y2" s="62" t="s">
        <v>721</v>
      </c>
      <c r="Z2" s="155" t="s">
        <v>724</v>
      </c>
      <c r="AA2" s="62" t="s">
        <v>724</v>
      </c>
      <c r="AB2" s="63" t="s">
        <v>712</v>
      </c>
      <c r="AC2" s="62" t="s">
        <v>746</v>
      </c>
      <c r="AD2" s="62" t="s">
        <v>747</v>
      </c>
      <c r="AE2" s="63" t="s">
        <v>726</v>
      </c>
      <c r="AF2" s="62" t="s">
        <v>729</v>
      </c>
      <c r="AG2" s="62" t="s">
        <v>727</v>
      </c>
      <c r="AH2" s="62" t="s">
        <v>730</v>
      </c>
      <c r="AI2" s="63" t="s">
        <v>728</v>
      </c>
      <c r="AJ2" s="64" t="s">
        <v>765</v>
      </c>
    </row>
    <row r="3" spans="1:50" s="11" customFormat="1" x14ac:dyDescent="0.25">
      <c r="A3" s="16" t="s">
        <v>328</v>
      </c>
      <c r="B3" s="126" t="s">
        <v>572</v>
      </c>
      <c r="C3" s="16" t="s">
        <v>329</v>
      </c>
      <c r="D3" s="120">
        <f>(VLOOKUP($B3,'Indicator Data (national)'!$B$5:$AP$14,39,FALSE)+VLOOKUP($B3,'Indicator Data (national)'!$B$5:$AP$14,40,FALSE)+VLOOKUP($B3,'Indicator Data (national)'!$B$5:$AP$14,41,FALSE))/VLOOKUP($B3,'Indicator Data (national)'!$B$5:$AP$14,38,FALSE)*1000000</f>
        <v>1.2851128045648466</v>
      </c>
      <c r="E3" s="2">
        <f>IF(D3&gt;E$150,0,IF(D3&lt;E$149,10,(E$150-D3)/(E$150-E$149)*10))</f>
        <v>3.5744359771757672</v>
      </c>
      <c r="F3" s="3">
        <f>E3</f>
        <v>3.5744359771757672</v>
      </c>
      <c r="G3" s="2">
        <f>IF(VLOOKUP($B3,'Indicator Data (national)'!$B$5:$AQ$14,30,FALSE)="No data","x",IF(VLOOKUP($B3,'Indicator Data (national)'!$B$5:$AQ$14,30,FALSE)&gt;G$150,10,IF(VLOOKUP($B3,'Indicator Data (national)'!$B$5:$AQ$14,30,FALSE)&lt;G$149,0,(G$150-VLOOKUP($B3,'Indicator Data (national)'!$B$5:$AQ$14,30,FALSE))/(G$150-G$149)*10)))</f>
        <v>8</v>
      </c>
      <c r="H3" s="2">
        <f>IF(VLOOKUP($B3,'Indicator Data (national)'!$B$5:$AQ$14,29,FALSE)="No data","x",IF(VLOOKUP($B3,'Indicator Data (national)'!$B$5:$AQ$14,29,FALSE)&gt;H$150,10,IF(VLOOKUP($B3,'Indicator Data (national)'!$B$5:$AQ$14,29,FALSE)&lt;H$149,0,(H$150-VLOOKUP($B3,'Indicator Data (national)'!$B$5:$AQ$14,29,FALSE))/(H$150-H$149)*10)))</f>
        <v>7.1496026515960693</v>
      </c>
      <c r="I3" s="3">
        <f>IF(AND(G3="x",H3="x"),"x",AVERAGE(G3,H3))</f>
        <v>7.5748013257980347</v>
      </c>
      <c r="J3" s="5">
        <f>AVERAGE(F3,I3)</f>
        <v>5.5746186514869009</v>
      </c>
      <c r="K3" s="2">
        <f>IF(VLOOKUP($B3,'Indicator Data (national)'!$B$5:$AQ$14,33,FALSE)="No data","x",IF(VLOOKUP($B3,'Indicator Data (national)'!$B$5:$AQ$14,33,FALSE)&gt;K$150,10,IF(VLOOKUP($B3,'Indicator Data (national)'!$B$5:$AQ$14,33,FALSE)&lt;K$149,0,(K$150-VLOOKUP($B3,'Indicator Data (national)'!$B$5:$AQ$14,33,FALSE))/(K$150-K$149)*10)))</f>
        <v>9.74</v>
      </c>
      <c r="L3" s="2">
        <f>IF(VLOOKUP($B3,'Indicator Data (national)'!$B$5:$AQ$14,34,FALSE)="No data","x",IF(VLOOKUP($B3,'Indicator Data (national)'!$B$5:$AQ$14,34,FALSE)&gt;L$150,10,IF(VLOOKUP($B3,'Indicator Data (national)'!$B$5:$AQ$14,34,FALSE)&lt;L$149,0,(L$150-VLOOKUP($B3,'Indicator Data (national)'!$B$5:$AQ$14,34,FALSE))/(L$150-L$149)*10)))</f>
        <v>7.5037411936316705</v>
      </c>
      <c r="M3" s="3">
        <f>IF(AND(K3="x",L3="x"),"x",AVERAGE(K3,L3))</f>
        <v>8.6218705968158353</v>
      </c>
      <c r="N3" s="2">
        <f>IF(VLOOKUP($B3,'Indicator Data (national)'!$B$5:$AS$14,44,FALSE)="No data","x",IF(VLOOKUP($B3,'Indicator Data (national)'!$B$5:$AS$14,44,FALSE)&gt;N$150,10,IF(VLOOKUP($B3,'Indicator Data (national)'!$B$5:$AS$14,44,FALSE)&lt;N$149,0,10-(N$150-VLOOKUP($B3,'Indicator Data (national)'!$B$5:$AS$14,44,FALSE))/(N$150-N$149)*10)))</f>
        <v>5.3444444444444441</v>
      </c>
      <c r="O3" s="2">
        <f>IF(VLOOKUP($B3,'Indicator Data (national)'!$B$5:$AS$14,42,FALSE)="No data","x",IF(VLOOKUP($B3,'Indicator Data (national)'!$B$5:$AS$14,42,FALSE)&gt;O$150,0,IF(VLOOKUP($B3,'Indicator Data (national)'!$B$5:$AS$14,42,FALSE)&lt;O$149,10,(O$150-VLOOKUP($B3,'Indicator Data (national)'!$B$5:$AS$14,42,FALSE))/(O$150-O$149)*10)))</f>
        <v>7.1140939597315436</v>
      </c>
      <c r="P3" s="158">
        <f>IF(AND(N3="x",O3="x"),"x",AVERAGE(O3,N3))</f>
        <v>6.2292692020879938</v>
      </c>
      <c r="Q3" s="2" t="str">
        <f>IF(VLOOKUP($B3,'Indicator Data (national)'!$B$5:$Q$14,16,FALSE)="No data","x",IF(VLOOKUP($B3,'Indicator Data (national)'!$B$5:$Q$14,16,FALSE)&gt;Q$150,0,IF(VLOOKUP($B3,'Indicator Data (national)'!$B$5:$Q$14,16,FALSE)&lt;Q$149,10,(Q$150-VLOOKUP($B3,'Indicator Data (national)'!$B$5:$Q$14,16,FALSE))/(Q$150-Q$149)*10)))</f>
        <v>x</v>
      </c>
      <c r="R3" s="158" t="str">
        <f>Q3</f>
        <v>x</v>
      </c>
      <c r="S3" s="3">
        <f t="shared" ref="S3:S34" si="0">AVERAGE(R3,P3)</f>
        <v>6.2292692020879938</v>
      </c>
      <c r="T3" s="2" t="str">
        <f>IF(VLOOKUP($B3,'Indicator Data (national)'!$B$5:$BC$14,43,FALSE)="No data","x",IF(VLOOKUP($B3,'Indicator Data (national)'!$B$5:$BC$14,43,FALSE)&gt;T$150,10,IF(VLOOKUP($B3,'Indicator Data (national)'!$B$5:$BC$14,43,FALSE)&lt;T$149,0,(T$150-VLOOKUP($B3,'Indicator Data (national)'!$B$5:$BC$14,43,FALSE))/(T$150-T$149)*10)))</f>
        <v>x</v>
      </c>
      <c r="U3" s="3" t="str">
        <f>T3</f>
        <v>x</v>
      </c>
      <c r="V3" s="5">
        <f t="shared" ref="V3:V34" si="1">AVERAGE(S3,M3,U3)</f>
        <v>7.425569899451915</v>
      </c>
      <c r="W3" s="2">
        <f>IF(VLOOKUP($B3,'Indicator Data (national)'!$B$5:$AS$14,37,FALSE)="No data","x",IF(VLOOKUP($B3,'Indicator Data (national)'!$B$5:$AS$14,37,FALSE)&gt;W$150,10,IF(VLOOKUP($B3,'Indicator Data (national)'!$B$5:$AS$14,37,FALSE)&lt;W$149,0,(LOG(W$150)-LOG(VLOOKUP($B3,'Indicator Data (national)'!$B$5:$AS$14,37,FALSE)))/(LOG(W$150)-LOG(W$149))*10)))</f>
        <v>9.6403370343401456</v>
      </c>
      <c r="X3" s="2">
        <f>IF(VLOOKUP($B3,'Indicator Data (national)'!$B$5:$BB$14,45,FALSE)="No data","x",IF(VLOOKUP($B3,'Indicator Data (national)'!$B$5:$BB$14,45,FALSE)&gt;X$150,10,IF(VLOOKUP($B3,'Indicator Data (national)'!$B$5:$BB$14,45,FALSE)&lt;X$149,0,10-(X$150-VLOOKUP($B3,'Indicator Data (national)'!$B$5:$BB$14,45,FALSE))/(X$150-X$149)*10)))</f>
        <v>2.8888888888888884</v>
      </c>
      <c r="Y3" s="2">
        <f>IF(VLOOKUP($B3,'Indicator Data (national)'!$B$5:$BB$14,46,FALSE)="No data","x",IF(VLOOKUP($B3,'Indicator Data (national)'!$B$5:$BB$14,46,FALSE)&gt;Y$150,10,IF(VLOOKUP($B3,'Indicator Data (national)'!$B$5:$BB$14,46,FALSE)&lt;Y$149,0,(Y$150-VLOOKUP($B3,'Indicator Data (national)'!$B$5:$BB$14,46,FALSE))/(Y$150-Y$149)*10)))</f>
        <v>3</v>
      </c>
      <c r="Z3" s="156">
        <f>IF(VLOOKUP($B3,'Indicator Data (national)'!$B$5:$BB$14,48,FALSE)="No data","x",VLOOKUP($B3,'Indicator Data (national)'!$B$5:$BB$14,47,FALSE)*VLOOKUP($B3,'Indicator Data (national)'!$B$5:$BB$14,48,FALSE))</f>
        <v>6.7502679667710721</v>
      </c>
      <c r="AA3" s="2">
        <f>IF(Z3="x","x",IF(Z3&gt;AA$150,0,IF(Z3&lt;AA$149,10,(AA$150-Z3)/(AA$150-AA$149)*10)))</f>
        <v>9.3249732033228927</v>
      </c>
      <c r="AB3" s="3">
        <f>IF(AND(W3="x",X3="x",Y3="x",AA3="x"),"x",AVERAGE(X3,Y3,AA3,W3))</f>
        <v>6.2135497816379814</v>
      </c>
      <c r="AC3" s="2">
        <f>IF(VLOOKUP($B3,'Indicator Data (national)'!$B$5:$BB$14,49,FALSE)="No data","x",IF(VLOOKUP($B3,'Indicator Data (national)'!$B$5:$BB$14,49,FALSE)&gt;AC$150,0,IF(VLOOKUP($B3,'Indicator Data (national)'!$B$5:$BB$14,49,FALSE)&lt;AC$149,10,(AC$150-VLOOKUP($B3,'Indicator Data (national)'!$B$5:$BB$14,49,FALSE))/(AC$150-AC$149)*10)))</f>
        <v>9.9760000000000009</v>
      </c>
      <c r="AD3" s="2">
        <f>IF(VLOOKUP($B3,'Indicator Data (national)'!$B$5:$BB$14,50,FALSE)="No data","x",IF(VLOOKUP($B3,'Indicator Data (national)'!$B$5:$BB$14,50,FALSE)&gt;AD$150,0,IF(VLOOKUP($B3,'Indicator Data (national)'!$B$5:$BB$14,50,FALSE)&lt;AD$149,10,(AD$150-VLOOKUP($B3,'Indicator Data (national)'!$B$5:$BB$14,50,FALSE))/(AD$150-AD$149)*10)))</f>
        <v>9.9932000000000016</v>
      </c>
      <c r="AE3" s="3">
        <f>IF(AND(AC3="x",AD3="x"),"x",AVERAGE(AC3,AD3))</f>
        <v>9.9846000000000004</v>
      </c>
      <c r="AF3" s="2">
        <f>IF(VLOOKUP($B3,'Indicator Data (national)'!$B$5:$BB$14,51,FALSE)="No data","x",IF(VLOOKUP($B3,'Indicator Data (national)'!$B$5:$BB$14,51,FALSE)&gt;AF$150,0,IF(VLOOKUP($B3,'Indicator Data (national)'!$B$5:$BB$14,51,FALSE)&lt;AF$149,10,(AF$150-VLOOKUP($B3,'Indicator Data (national)'!$B$5:$BB$14,51,FALSE))/(AF$150-AF$149)*10)))</f>
        <v>6.2115135335653671</v>
      </c>
      <c r="AG3" s="2">
        <f>IF(VLOOKUP($B3,'Indicator Data (national)'!$B$5:$BB$14,52,FALSE)="No data","x",IF(VLOOKUP($B3,'Indicator Data (national)'!$B$5:$BB$14,52,FALSE)&gt;AG$150,0,IF(VLOOKUP($B3,'Indicator Data (national)'!$B$5:$BB$14,52,FALSE)&lt;AG$149,10,(AG$150-VLOOKUP($B3,'Indicator Data (national)'!$B$5:$BB$14,52,FALSE))/(AG$150-AG$149)*10)))</f>
        <v>9.0606648000000014</v>
      </c>
      <c r="AH3" s="2">
        <f>IF(VLOOKUP($B3,'Indicator Data (national)'!$B$5:$BB$14,53,FALSE)="No data","x",IF(VLOOKUP($B3,'Indicator Data (national)'!$B$5:$BB$14,53,FALSE)&gt;AH$150,0,IF(VLOOKUP($B3,'Indicator Data (national)'!$B$5:$BB$14,53,FALSE)&lt;AH$149,10,(AH$150-VLOOKUP($B3,'Indicator Data (national)'!$B$5:$BB$14,53,FALSE))/(AH$150-AH$149)*10)))</f>
        <v>6.4163309694955863</v>
      </c>
      <c r="AI3" s="3">
        <f>IF(AND(AF3="x",AG3="x",AH3="x"),"x",AVERAGE(AG3,AF3,AH3))</f>
        <v>7.2295031010203177</v>
      </c>
      <c r="AJ3" s="5">
        <f t="shared" ref="AJ3:AJ34" si="2">AVERAGE(AE3,AB3,AI3)</f>
        <v>7.8092176275527656</v>
      </c>
    </row>
    <row r="4" spans="1:50" s="11" customFormat="1" x14ac:dyDescent="0.25">
      <c r="A4" s="16" t="s">
        <v>330</v>
      </c>
      <c r="B4" s="126" t="s">
        <v>572</v>
      </c>
      <c r="C4" s="16" t="s">
        <v>331</v>
      </c>
      <c r="D4" s="120">
        <f>(VLOOKUP($B4,'Indicator Data (national)'!$B$5:$AP$14,39,FALSE)+VLOOKUP($B4,'Indicator Data (national)'!$B$5:$AP$14,40,FALSE)+VLOOKUP($B4,'Indicator Data (national)'!$B$5:$AP$14,41,FALSE))/VLOOKUP($B4,'Indicator Data (national)'!$B$5:$AP$14,38,FALSE)*1000000</f>
        <v>1.2851128045648466</v>
      </c>
      <c r="E4" s="2">
        <f t="shared" ref="E4:E67" si="3">IF(D4&gt;E$150,0,IF(D4&lt;E$149,10,(E$150-D4)/(E$150-E$149)*10))</f>
        <v>3.5744359771757672</v>
      </c>
      <c r="F4" s="3">
        <f t="shared" ref="F4:F67" si="4">E4</f>
        <v>3.5744359771757672</v>
      </c>
      <c r="G4" s="2">
        <f>IF(VLOOKUP($B4,'Indicator Data (national)'!$B$5:$AQ$14,30,FALSE)="No data","x",IF(VLOOKUP($B4,'Indicator Data (national)'!$B$5:$AQ$14,30,FALSE)&gt;G$150,10,IF(VLOOKUP($B4,'Indicator Data (national)'!$B$5:$AQ$14,30,FALSE)&lt;G$149,0,(G$150-VLOOKUP($B4,'Indicator Data (national)'!$B$5:$AQ$14,30,FALSE))/(G$150-G$149)*10)))</f>
        <v>8</v>
      </c>
      <c r="H4" s="2">
        <f>IF(VLOOKUP($B4,'Indicator Data (national)'!$B$5:$AQ$14,29,FALSE)="No data","x",IF(VLOOKUP($B4,'Indicator Data (national)'!$B$5:$AQ$14,29,FALSE)&gt;H$150,10,IF(VLOOKUP($B4,'Indicator Data (national)'!$B$5:$AQ$14,29,FALSE)&lt;H$149,0,(H$150-VLOOKUP($B4,'Indicator Data (national)'!$B$5:$AQ$14,29,FALSE))/(H$150-H$149)*10)))</f>
        <v>7.1496026515960693</v>
      </c>
      <c r="I4" s="3">
        <f t="shared" ref="I4:I67" si="5">IF(AND(G4="x",H4="x"),"x",AVERAGE(G4,H4))</f>
        <v>7.5748013257980347</v>
      </c>
      <c r="J4" s="5">
        <f t="shared" ref="J4:J67" si="6">AVERAGE(F4,I4)</f>
        <v>5.5746186514869009</v>
      </c>
      <c r="K4" s="2">
        <f>IF(VLOOKUP($B4,'Indicator Data (national)'!$B$5:$AQ$14,33,FALSE)="No data","x",IF(VLOOKUP($B4,'Indicator Data (national)'!$B$5:$AQ$14,33,FALSE)&gt;K$150,10,IF(VLOOKUP($B4,'Indicator Data (national)'!$B$5:$AQ$14,33,FALSE)&lt;K$149,0,(K$150-VLOOKUP($B4,'Indicator Data (national)'!$B$5:$AQ$14,33,FALSE))/(K$150-K$149)*10)))</f>
        <v>9.74</v>
      </c>
      <c r="L4" s="2">
        <f>IF(VLOOKUP($B4,'Indicator Data (national)'!$B$5:$AQ$14,34,FALSE)="No data","x",IF(VLOOKUP($B4,'Indicator Data (national)'!$B$5:$AQ$14,34,FALSE)&gt;L$150,10,IF(VLOOKUP($B4,'Indicator Data (national)'!$B$5:$AQ$14,34,FALSE)&lt;L$149,0,(L$150-VLOOKUP($B4,'Indicator Data (national)'!$B$5:$AQ$14,34,FALSE))/(L$150-L$149)*10)))</f>
        <v>7.5037411936316705</v>
      </c>
      <c r="M4" s="3">
        <f t="shared" ref="M4:M67" si="7">IF(AND(K4="x",L4="x"),"x",AVERAGE(K4,L4))</f>
        <v>8.6218705968158353</v>
      </c>
      <c r="N4" s="2">
        <f>IF(VLOOKUP($B4,'Indicator Data (national)'!$B$5:$AS$14,44,FALSE)="No data","x",IF(VLOOKUP($B4,'Indicator Data (national)'!$B$5:$AS$14,44,FALSE)&gt;N$150,10,IF(VLOOKUP($B4,'Indicator Data (national)'!$B$5:$AS$14,44,FALSE)&lt;N$149,0,10-(N$150-VLOOKUP($B4,'Indicator Data (national)'!$B$5:$AS$14,44,FALSE))/(N$150-N$149)*10)))</f>
        <v>5.3444444444444441</v>
      </c>
      <c r="O4" s="2">
        <f>IF(VLOOKUP($B4,'Indicator Data (national)'!$B$5:$AS$14,42,FALSE)="No data","x",IF(VLOOKUP($B4,'Indicator Data (national)'!$B$5:$AS$14,42,FALSE)&gt;O$150,0,IF(VLOOKUP($B4,'Indicator Data (national)'!$B$5:$AS$14,42,FALSE)&lt;O$149,10,(O$150-VLOOKUP($B4,'Indicator Data (national)'!$B$5:$AS$14,42,FALSE))/(O$150-O$149)*10)))</f>
        <v>7.1140939597315436</v>
      </c>
      <c r="P4" s="158">
        <f t="shared" ref="P4:P67" si="8">IF(AND(N4="x",O4="x"),"x",AVERAGE(O4,N4))</f>
        <v>6.2292692020879938</v>
      </c>
      <c r="Q4" s="2" t="str">
        <f>IF(VLOOKUP($B4,'Indicator Data (national)'!$B$5:$Q$14,16,FALSE)="No data","x",IF(VLOOKUP($B4,'Indicator Data (national)'!$B$5:$Q$14,16,FALSE)&gt;Q$150,0,IF(VLOOKUP($B4,'Indicator Data (national)'!$B$5:$Q$14,16,FALSE)&lt;Q$149,10,(Q$150-VLOOKUP($B4,'Indicator Data (national)'!$B$5:$Q$14,16,FALSE))/(Q$150-Q$149)*10)))</f>
        <v>x</v>
      </c>
      <c r="R4" s="158" t="str">
        <f t="shared" ref="R4:R67" si="9">Q4</f>
        <v>x</v>
      </c>
      <c r="S4" s="3">
        <f t="shared" si="0"/>
        <v>6.2292692020879938</v>
      </c>
      <c r="T4" s="2" t="str">
        <f>IF(VLOOKUP($B4,'Indicator Data (national)'!$B$5:$BC$14,43,FALSE)="No data","x",IF(VLOOKUP($B4,'Indicator Data (national)'!$B$5:$BC$14,43,FALSE)&gt;T$150,10,IF(VLOOKUP($B4,'Indicator Data (national)'!$B$5:$BC$14,43,FALSE)&lt;T$149,0,(T$150-VLOOKUP($B4,'Indicator Data (national)'!$B$5:$BC$14,43,FALSE))/(T$150-T$149)*10)))</f>
        <v>x</v>
      </c>
      <c r="U4" s="3" t="str">
        <f t="shared" ref="U4:U67" si="10">T4</f>
        <v>x</v>
      </c>
      <c r="V4" s="5">
        <f t="shared" si="1"/>
        <v>7.425569899451915</v>
      </c>
      <c r="W4" s="2">
        <f>IF(VLOOKUP($B4,'Indicator Data (national)'!$B$5:$AS$14,37,FALSE)="No data","x",IF(VLOOKUP($B4,'Indicator Data (national)'!$B$5:$AS$14,37,FALSE)&gt;W$150,10,IF(VLOOKUP($B4,'Indicator Data (national)'!$B$5:$AS$14,37,FALSE)&lt;W$149,0,(LOG(W$150)-LOG(VLOOKUP($B4,'Indicator Data (national)'!$B$5:$AS$14,37,FALSE)))/(LOG(W$150)-LOG(W$149))*10)))</f>
        <v>9.6403370343401456</v>
      </c>
      <c r="X4" s="2">
        <f>IF(VLOOKUP($B4,'Indicator Data (national)'!$B$5:$BB$14,45,FALSE)="No data","x",IF(VLOOKUP($B4,'Indicator Data (national)'!$B$5:$BB$14,45,FALSE)&gt;X$150,10,IF(VLOOKUP($B4,'Indicator Data (national)'!$B$5:$BB$14,45,FALSE)&lt;X$149,0,10-(X$150-VLOOKUP($B4,'Indicator Data (national)'!$B$5:$BB$14,45,FALSE))/(X$150-X$149)*10)))</f>
        <v>2.8888888888888884</v>
      </c>
      <c r="Y4" s="2">
        <f>IF(VLOOKUP($B4,'Indicator Data (national)'!$B$5:$BB$14,46,FALSE)="No data","x",IF(VLOOKUP($B4,'Indicator Data (national)'!$B$5:$BB$14,46,FALSE)&gt;Y$150,10,IF(VLOOKUP($B4,'Indicator Data (national)'!$B$5:$BB$14,46,FALSE)&lt;Y$149,0,(Y$150-VLOOKUP($B4,'Indicator Data (national)'!$B$5:$BB$14,46,FALSE))/(Y$150-Y$149)*10)))</f>
        <v>3</v>
      </c>
      <c r="Z4" s="156">
        <f>IF(VLOOKUP($B4,'Indicator Data (national)'!$B$5:$BB$14,48,FALSE)="No data","x",VLOOKUP($B4,'Indicator Data (national)'!$B$5:$BB$14,47,FALSE)*VLOOKUP($B4,'Indicator Data (national)'!$B$5:$BB$14,48,FALSE))</f>
        <v>6.7502679667710721</v>
      </c>
      <c r="AA4" s="2">
        <f t="shared" ref="AA4:AA67" si="11">IF(Z4="x","x",IF(Z4&gt;AA$150,0,IF(Z4&lt;AA$149,10,(AA$150-Z4)/(AA$150-AA$149)*10)))</f>
        <v>9.3249732033228927</v>
      </c>
      <c r="AB4" s="3">
        <f t="shared" ref="AB4:AB67" si="12">IF(AND(W4="x",X4="x",Y4="x",AA4="x"),"x",AVERAGE(X4,Y4,AA4,W4))</f>
        <v>6.2135497816379814</v>
      </c>
      <c r="AC4" s="2">
        <f>IF(VLOOKUP($B4,'Indicator Data (national)'!$B$5:$BB$14,49,FALSE)="No data","x",IF(VLOOKUP($B4,'Indicator Data (national)'!$B$5:$BB$14,49,FALSE)&gt;AC$150,0,IF(VLOOKUP($B4,'Indicator Data (national)'!$B$5:$BB$14,49,FALSE)&lt;AC$149,10,(AC$150-VLOOKUP($B4,'Indicator Data (national)'!$B$5:$BB$14,49,FALSE))/(AC$150-AC$149)*10)))</f>
        <v>9.9760000000000009</v>
      </c>
      <c r="AD4" s="2">
        <f>IF(VLOOKUP($B4,'Indicator Data (national)'!$B$5:$BB$14,50,FALSE)="No data","x",IF(VLOOKUP($B4,'Indicator Data (national)'!$B$5:$BB$14,50,FALSE)&gt;AD$150,0,IF(VLOOKUP($B4,'Indicator Data (national)'!$B$5:$BB$14,50,FALSE)&lt;AD$149,10,(AD$150-VLOOKUP($B4,'Indicator Data (national)'!$B$5:$BB$14,50,FALSE))/(AD$150-AD$149)*10)))</f>
        <v>9.9932000000000016</v>
      </c>
      <c r="AE4" s="3">
        <f t="shared" ref="AE4:AE67" si="13">IF(AND(AC4="x",AD4="x"),"x",AVERAGE(AC4,AD4))</f>
        <v>9.9846000000000004</v>
      </c>
      <c r="AF4" s="2">
        <f>IF(VLOOKUP($B4,'Indicator Data (national)'!$B$5:$BB$14,51,FALSE)="No data","x",IF(VLOOKUP($B4,'Indicator Data (national)'!$B$5:$BB$14,51,FALSE)&gt;AF$150,0,IF(VLOOKUP($B4,'Indicator Data (national)'!$B$5:$BB$14,51,FALSE)&lt;AF$149,10,(AF$150-VLOOKUP($B4,'Indicator Data (national)'!$B$5:$BB$14,51,FALSE))/(AF$150-AF$149)*10)))</f>
        <v>6.2115135335653671</v>
      </c>
      <c r="AG4" s="2">
        <f>IF(VLOOKUP($B4,'Indicator Data (national)'!$B$5:$BB$14,52,FALSE)="No data","x",IF(VLOOKUP($B4,'Indicator Data (national)'!$B$5:$BB$14,52,FALSE)&gt;AG$150,0,IF(VLOOKUP($B4,'Indicator Data (national)'!$B$5:$BB$14,52,FALSE)&lt;AG$149,10,(AG$150-VLOOKUP($B4,'Indicator Data (national)'!$B$5:$BB$14,52,FALSE))/(AG$150-AG$149)*10)))</f>
        <v>9.0606648000000014</v>
      </c>
      <c r="AH4" s="2">
        <f>IF(VLOOKUP($B4,'Indicator Data (national)'!$B$5:$BB$14,53,FALSE)="No data","x",IF(VLOOKUP($B4,'Indicator Data (national)'!$B$5:$BB$14,53,FALSE)&gt;AH$150,0,IF(VLOOKUP($B4,'Indicator Data (national)'!$B$5:$BB$14,53,FALSE)&lt;AH$149,10,(AH$150-VLOOKUP($B4,'Indicator Data (national)'!$B$5:$BB$14,53,FALSE))/(AH$150-AH$149)*10)))</f>
        <v>6.4163309694955863</v>
      </c>
      <c r="AI4" s="3">
        <f t="shared" ref="AI4:AI67" si="14">IF(AND(AF4="x",AG4="x",AH4="x"),"x",AVERAGE(AG4,AF4,AH4))</f>
        <v>7.2295031010203177</v>
      </c>
      <c r="AJ4" s="5">
        <f t="shared" si="2"/>
        <v>7.8092176275527656</v>
      </c>
    </row>
    <row r="5" spans="1:50" s="11" customFormat="1" x14ac:dyDescent="0.25">
      <c r="A5" s="16" t="s">
        <v>332</v>
      </c>
      <c r="B5" s="126" t="s">
        <v>572</v>
      </c>
      <c r="C5" s="16" t="s">
        <v>333</v>
      </c>
      <c r="D5" s="120">
        <f>(VLOOKUP($B5,'Indicator Data (national)'!$B$5:$AP$14,39,FALSE)+VLOOKUP($B5,'Indicator Data (national)'!$B$5:$AP$14,40,FALSE)+VLOOKUP($B5,'Indicator Data (national)'!$B$5:$AP$14,41,FALSE))/VLOOKUP($B5,'Indicator Data (national)'!$B$5:$AP$14,38,FALSE)*1000000</f>
        <v>1.2851128045648466</v>
      </c>
      <c r="E5" s="2">
        <f t="shared" si="3"/>
        <v>3.5744359771757672</v>
      </c>
      <c r="F5" s="3">
        <f t="shared" si="4"/>
        <v>3.5744359771757672</v>
      </c>
      <c r="G5" s="2">
        <f>IF(VLOOKUP($B5,'Indicator Data (national)'!$B$5:$AQ$14,30,FALSE)="No data","x",IF(VLOOKUP($B5,'Indicator Data (national)'!$B$5:$AQ$14,30,FALSE)&gt;G$150,10,IF(VLOOKUP($B5,'Indicator Data (national)'!$B$5:$AQ$14,30,FALSE)&lt;G$149,0,(G$150-VLOOKUP($B5,'Indicator Data (national)'!$B$5:$AQ$14,30,FALSE))/(G$150-G$149)*10)))</f>
        <v>8</v>
      </c>
      <c r="H5" s="2">
        <f>IF(VLOOKUP($B5,'Indicator Data (national)'!$B$5:$AQ$14,29,FALSE)="No data","x",IF(VLOOKUP($B5,'Indicator Data (national)'!$B$5:$AQ$14,29,FALSE)&gt;H$150,10,IF(VLOOKUP($B5,'Indicator Data (national)'!$B$5:$AQ$14,29,FALSE)&lt;H$149,0,(H$150-VLOOKUP($B5,'Indicator Data (national)'!$B$5:$AQ$14,29,FALSE))/(H$150-H$149)*10)))</f>
        <v>7.1496026515960693</v>
      </c>
      <c r="I5" s="3">
        <f t="shared" si="5"/>
        <v>7.5748013257980347</v>
      </c>
      <c r="J5" s="5">
        <f t="shared" si="6"/>
        <v>5.5746186514869009</v>
      </c>
      <c r="K5" s="2">
        <f>IF(VLOOKUP($B5,'Indicator Data (national)'!$B$5:$AQ$14,33,FALSE)="No data","x",IF(VLOOKUP($B5,'Indicator Data (national)'!$B$5:$AQ$14,33,FALSE)&gt;K$150,10,IF(VLOOKUP($B5,'Indicator Data (national)'!$B$5:$AQ$14,33,FALSE)&lt;K$149,0,(K$150-VLOOKUP($B5,'Indicator Data (national)'!$B$5:$AQ$14,33,FALSE))/(K$150-K$149)*10)))</f>
        <v>9.74</v>
      </c>
      <c r="L5" s="2">
        <f>IF(VLOOKUP($B5,'Indicator Data (national)'!$B$5:$AQ$14,34,FALSE)="No data","x",IF(VLOOKUP($B5,'Indicator Data (national)'!$B$5:$AQ$14,34,FALSE)&gt;L$150,10,IF(VLOOKUP($B5,'Indicator Data (national)'!$B$5:$AQ$14,34,FALSE)&lt;L$149,0,(L$150-VLOOKUP($B5,'Indicator Data (national)'!$B$5:$AQ$14,34,FALSE))/(L$150-L$149)*10)))</f>
        <v>7.5037411936316705</v>
      </c>
      <c r="M5" s="3">
        <f t="shared" si="7"/>
        <v>8.6218705968158353</v>
      </c>
      <c r="N5" s="2">
        <f>IF(VLOOKUP($B5,'Indicator Data (national)'!$B$5:$AS$14,44,FALSE)="No data","x",IF(VLOOKUP($B5,'Indicator Data (national)'!$B$5:$AS$14,44,FALSE)&gt;N$150,10,IF(VLOOKUP($B5,'Indicator Data (national)'!$B$5:$AS$14,44,FALSE)&lt;N$149,0,10-(N$150-VLOOKUP($B5,'Indicator Data (national)'!$B$5:$AS$14,44,FALSE))/(N$150-N$149)*10)))</f>
        <v>5.3444444444444441</v>
      </c>
      <c r="O5" s="2">
        <f>IF(VLOOKUP($B5,'Indicator Data (national)'!$B$5:$AS$14,42,FALSE)="No data","x",IF(VLOOKUP($B5,'Indicator Data (national)'!$B$5:$AS$14,42,FALSE)&gt;O$150,0,IF(VLOOKUP($B5,'Indicator Data (national)'!$B$5:$AS$14,42,FALSE)&lt;O$149,10,(O$150-VLOOKUP($B5,'Indicator Data (national)'!$B$5:$AS$14,42,FALSE))/(O$150-O$149)*10)))</f>
        <v>7.1140939597315436</v>
      </c>
      <c r="P5" s="158">
        <f t="shared" si="8"/>
        <v>6.2292692020879938</v>
      </c>
      <c r="Q5" s="2" t="str">
        <f>IF(VLOOKUP($B5,'Indicator Data (national)'!$B$5:$Q$14,16,FALSE)="No data","x",IF(VLOOKUP($B5,'Indicator Data (national)'!$B$5:$Q$14,16,FALSE)&gt;Q$150,0,IF(VLOOKUP($B5,'Indicator Data (national)'!$B$5:$Q$14,16,FALSE)&lt;Q$149,10,(Q$150-VLOOKUP($B5,'Indicator Data (national)'!$B$5:$Q$14,16,FALSE))/(Q$150-Q$149)*10)))</f>
        <v>x</v>
      </c>
      <c r="R5" s="158" t="str">
        <f t="shared" si="9"/>
        <v>x</v>
      </c>
      <c r="S5" s="3">
        <f t="shared" si="0"/>
        <v>6.2292692020879938</v>
      </c>
      <c r="T5" s="2" t="str">
        <f>IF(VLOOKUP($B5,'Indicator Data (national)'!$B$5:$BC$14,43,FALSE)="No data","x",IF(VLOOKUP($B5,'Indicator Data (national)'!$B$5:$BC$14,43,FALSE)&gt;T$150,10,IF(VLOOKUP($B5,'Indicator Data (national)'!$B$5:$BC$14,43,FALSE)&lt;T$149,0,(T$150-VLOOKUP($B5,'Indicator Data (national)'!$B$5:$BC$14,43,FALSE))/(T$150-T$149)*10)))</f>
        <v>x</v>
      </c>
      <c r="U5" s="3" t="str">
        <f t="shared" si="10"/>
        <v>x</v>
      </c>
      <c r="V5" s="5">
        <f t="shared" si="1"/>
        <v>7.425569899451915</v>
      </c>
      <c r="W5" s="2">
        <f>IF(VLOOKUP($B5,'Indicator Data (national)'!$B$5:$AS$14,37,FALSE)="No data","x",IF(VLOOKUP($B5,'Indicator Data (national)'!$B$5:$AS$14,37,FALSE)&gt;W$150,10,IF(VLOOKUP($B5,'Indicator Data (national)'!$B$5:$AS$14,37,FALSE)&lt;W$149,0,(LOG(W$150)-LOG(VLOOKUP($B5,'Indicator Data (national)'!$B$5:$AS$14,37,FALSE)))/(LOG(W$150)-LOG(W$149))*10)))</f>
        <v>9.6403370343401456</v>
      </c>
      <c r="X5" s="2">
        <f>IF(VLOOKUP($B5,'Indicator Data (national)'!$B$5:$BB$14,45,FALSE)="No data","x",IF(VLOOKUP($B5,'Indicator Data (national)'!$B$5:$BB$14,45,FALSE)&gt;X$150,10,IF(VLOOKUP($B5,'Indicator Data (national)'!$B$5:$BB$14,45,FALSE)&lt;X$149,0,10-(X$150-VLOOKUP($B5,'Indicator Data (national)'!$B$5:$BB$14,45,FALSE))/(X$150-X$149)*10)))</f>
        <v>2.8888888888888884</v>
      </c>
      <c r="Y5" s="2">
        <f>IF(VLOOKUP($B5,'Indicator Data (national)'!$B$5:$BB$14,46,FALSE)="No data","x",IF(VLOOKUP($B5,'Indicator Data (national)'!$B$5:$BB$14,46,FALSE)&gt;Y$150,10,IF(VLOOKUP($B5,'Indicator Data (national)'!$B$5:$BB$14,46,FALSE)&lt;Y$149,0,(Y$150-VLOOKUP($B5,'Indicator Data (national)'!$B$5:$BB$14,46,FALSE))/(Y$150-Y$149)*10)))</f>
        <v>3</v>
      </c>
      <c r="Z5" s="156">
        <f>IF(VLOOKUP($B5,'Indicator Data (national)'!$B$5:$BB$14,48,FALSE)="No data","x",VLOOKUP($B5,'Indicator Data (national)'!$B$5:$BB$14,47,FALSE)*VLOOKUP($B5,'Indicator Data (national)'!$B$5:$BB$14,48,FALSE))</f>
        <v>6.7502679667710721</v>
      </c>
      <c r="AA5" s="2">
        <f t="shared" si="11"/>
        <v>9.3249732033228927</v>
      </c>
      <c r="AB5" s="3">
        <f t="shared" si="12"/>
        <v>6.2135497816379814</v>
      </c>
      <c r="AC5" s="2">
        <f>IF(VLOOKUP($B5,'Indicator Data (national)'!$B$5:$BB$14,49,FALSE)="No data","x",IF(VLOOKUP($B5,'Indicator Data (national)'!$B$5:$BB$14,49,FALSE)&gt;AC$150,0,IF(VLOOKUP($B5,'Indicator Data (national)'!$B$5:$BB$14,49,FALSE)&lt;AC$149,10,(AC$150-VLOOKUP($B5,'Indicator Data (national)'!$B$5:$BB$14,49,FALSE))/(AC$150-AC$149)*10)))</f>
        <v>9.9760000000000009</v>
      </c>
      <c r="AD5" s="2">
        <f>IF(VLOOKUP($B5,'Indicator Data (national)'!$B$5:$BB$14,50,FALSE)="No data","x",IF(VLOOKUP($B5,'Indicator Data (national)'!$B$5:$BB$14,50,FALSE)&gt;AD$150,0,IF(VLOOKUP($B5,'Indicator Data (national)'!$B$5:$BB$14,50,FALSE)&lt;AD$149,10,(AD$150-VLOOKUP($B5,'Indicator Data (national)'!$B$5:$BB$14,50,FALSE))/(AD$150-AD$149)*10)))</f>
        <v>9.9932000000000016</v>
      </c>
      <c r="AE5" s="3">
        <f t="shared" si="13"/>
        <v>9.9846000000000004</v>
      </c>
      <c r="AF5" s="2">
        <f>IF(VLOOKUP($B5,'Indicator Data (national)'!$B$5:$BB$14,51,FALSE)="No data","x",IF(VLOOKUP($B5,'Indicator Data (national)'!$B$5:$BB$14,51,FALSE)&gt;AF$150,0,IF(VLOOKUP($B5,'Indicator Data (national)'!$B$5:$BB$14,51,FALSE)&lt;AF$149,10,(AF$150-VLOOKUP($B5,'Indicator Data (national)'!$B$5:$BB$14,51,FALSE))/(AF$150-AF$149)*10)))</f>
        <v>6.2115135335653671</v>
      </c>
      <c r="AG5" s="2">
        <f>IF(VLOOKUP($B5,'Indicator Data (national)'!$B$5:$BB$14,52,FALSE)="No data","x",IF(VLOOKUP($B5,'Indicator Data (national)'!$B$5:$BB$14,52,FALSE)&gt;AG$150,0,IF(VLOOKUP($B5,'Indicator Data (national)'!$B$5:$BB$14,52,FALSE)&lt;AG$149,10,(AG$150-VLOOKUP($B5,'Indicator Data (national)'!$B$5:$BB$14,52,FALSE))/(AG$150-AG$149)*10)))</f>
        <v>9.0606648000000014</v>
      </c>
      <c r="AH5" s="2">
        <f>IF(VLOOKUP($B5,'Indicator Data (national)'!$B$5:$BB$14,53,FALSE)="No data","x",IF(VLOOKUP($B5,'Indicator Data (national)'!$B$5:$BB$14,53,FALSE)&gt;AH$150,0,IF(VLOOKUP($B5,'Indicator Data (national)'!$B$5:$BB$14,53,FALSE)&lt;AH$149,10,(AH$150-VLOOKUP($B5,'Indicator Data (national)'!$B$5:$BB$14,53,FALSE))/(AH$150-AH$149)*10)))</f>
        <v>6.4163309694955863</v>
      </c>
      <c r="AI5" s="3">
        <f t="shared" si="14"/>
        <v>7.2295031010203177</v>
      </c>
      <c r="AJ5" s="5">
        <f t="shared" si="2"/>
        <v>7.8092176275527656</v>
      </c>
    </row>
    <row r="6" spans="1:50" s="11" customFormat="1" x14ac:dyDescent="0.25">
      <c r="A6" s="16" t="s">
        <v>334</v>
      </c>
      <c r="B6" s="126" t="s">
        <v>572</v>
      </c>
      <c r="C6" s="16" t="s">
        <v>335</v>
      </c>
      <c r="D6" s="120">
        <f>(VLOOKUP($B6,'Indicator Data (national)'!$B$5:$AP$14,39,FALSE)+VLOOKUP($B6,'Indicator Data (national)'!$B$5:$AP$14,40,FALSE)+VLOOKUP($B6,'Indicator Data (national)'!$B$5:$AP$14,41,FALSE))/VLOOKUP($B6,'Indicator Data (national)'!$B$5:$AP$14,38,FALSE)*1000000</f>
        <v>1.2851128045648466</v>
      </c>
      <c r="E6" s="2">
        <f t="shared" si="3"/>
        <v>3.5744359771757672</v>
      </c>
      <c r="F6" s="3">
        <f t="shared" si="4"/>
        <v>3.5744359771757672</v>
      </c>
      <c r="G6" s="2">
        <f>IF(VLOOKUP($B6,'Indicator Data (national)'!$B$5:$AQ$14,30,FALSE)="No data","x",IF(VLOOKUP($B6,'Indicator Data (national)'!$B$5:$AQ$14,30,FALSE)&gt;G$150,10,IF(VLOOKUP($B6,'Indicator Data (national)'!$B$5:$AQ$14,30,FALSE)&lt;G$149,0,(G$150-VLOOKUP($B6,'Indicator Data (national)'!$B$5:$AQ$14,30,FALSE))/(G$150-G$149)*10)))</f>
        <v>8</v>
      </c>
      <c r="H6" s="2">
        <f>IF(VLOOKUP($B6,'Indicator Data (national)'!$B$5:$AQ$14,29,FALSE)="No data","x",IF(VLOOKUP($B6,'Indicator Data (national)'!$B$5:$AQ$14,29,FALSE)&gt;H$150,10,IF(VLOOKUP($B6,'Indicator Data (national)'!$B$5:$AQ$14,29,FALSE)&lt;H$149,0,(H$150-VLOOKUP($B6,'Indicator Data (national)'!$B$5:$AQ$14,29,FALSE))/(H$150-H$149)*10)))</f>
        <v>7.1496026515960693</v>
      </c>
      <c r="I6" s="3">
        <f t="shared" si="5"/>
        <v>7.5748013257980347</v>
      </c>
      <c r="J6" s="5">
        <f t="shared" si="6"/>
        <v>5.5746186514869009</v>
      </c>
      <c r="K6" s="2">
        <f>IF(VLOOKUP($B6,'Indicator Data (national)'!$B$5:$AQ$14,33,FALSE)="No data","x",IF(VLOOKUP($B6,'Indicator Data (national)'!$B$5:$AQ$14,33,FALSE)&gt;K$150,10,IF(VLOOKUP($B6,'Indicator Data (national)'!$B$5:$AQ$14,33,FALSE)&lt;K$149,0,(K$150-VLOOKUP($B6,'Indicator Data (national)'!$B$5:$AQ$14,33,FALSE))/(K$150-K$149)*10)))</f>
        <v>9.74</v>
      </c>
      <c r="L6" s="2">
        <f>IF(VLOOKUP($B6,'Indicator Data (national)'!$B$5:$AQ$14,34,FALSE)="No data","x",IF(VLOOKUP($B6,'Indicator Data (national)'!$B$5:$AQ$14,34,FALSE)&gt;L$150,10,IF(VLOOKUP($B6,'Indicator Data (national)'!$B$5:$AQ$14,34,FALSE)&lt;L$149,0,(L$150-VLOOKUP($B6,'Indicator Data (national)'!$B$5:$AQ$14,34,FALSE))/(L$150-L$149)*10)))</f>
        <v>7.5037411936316705</v>
      </c>
      <c r="M6" s="3">
        <f t="shared" si="7"/>
        <v>8.6218705968158353</v>
      </c>
      <c r="N6" s="2">
        <f>IF(VLOOKUP($B6,'Indicator Data (national)'!$B$5:$AS$14,44,FALSE)="No data","x",IF(VLOOKUP($B6,'Indicator Data (national)'!$B$5:$AS$14,44,FALSE)&gt;N$150,10,IF(VLOOKUP($B6,'Indicator Data (national)'!$B$5:$AS$14,44,FALSE)&lt;N$149,0,10-(N$150-VLOOKUP($B6,'Indicator Data (national)'!$B$5:$AS$14,44,FALSE))/(N$150-N$149)*10)))</f>
        <v>5.3444444444444441</v>
      </c>
      <c r="O6" s="2">
        <f>IF(VLOOKUP($B6,'Indicator Data (national)'!$B$5:$AS$14,42,FALSE)="No data","x",IF(VLOOKUP($B6,'Indicator Data (national)'!$B$5:$AS$14,42,FALSE)&gt;O$150,0,IF(VLOOKUP($B6,'Indicator Data (national)'!$B$5:$AS$14,42,FALSE)&lt;O$149,10,(O$150-VLOOKUP($B6,'Indicator Data (national)'!$B$5:$AS$14,42,FALSE))/(O$150-O$149)*10)))</f>
        <v>7.1140939597315436</v>
      </c>
      <c r="P6" s="158">
        <f t="shared" si="8"/>
        <v>6.2292692020879938</v>
      </c>
      <c r="Q6" s="2" t="str">
        <f>IF(VLOOKUP($B6,'Indicator Data (national)'!$B$5:$Q$14,16,FALSE)="No data","x",IF(VLOOKUP($B6,'Indicator Data (national)'!$B$5:$Q$14,16,FALSE)&gt;Q$150,0,IF(VLOOKUP($B6,'Indicator Data (national)'!$B$5:$Q$14,16,FALSE)&lt;Q$149,10,(Q$150-VLOOKUP($B6,'Indicator Data (national)'!$B$5:$Q$14,16,FALSE))/(Q$150-Q$149)*10)))</f>
        <v>x</v>
      </c>
      <c r="R6" s="158" t="str">
        <f t="shared" si="9"/>
        <v>x</v>
      </c>
      <c r="S6" s="3">
        <f t="shared" si="0"/>
        <v>6.2292692020879938</v>
      </c>
      <c r="T6" s="2" t="str">
        <f>IF(VLOOKUP($B6,'Indicator Data (national)'!$B$5:$BC$14,43,FALSE)="No data","x",IF(VLOOKUP($B6,'Indicator Data (national)'!$B$5:$BC$14,43,FALSE)&gt;T$150,10,IF(VLOOKUP($B6,'Indicator Data (national)'!$B$5:$BC$14,43,FALSE)&lt;T$149,0,(T$150-VLOOKUP($B6,'Indicator Data (national)'!$B$5:$BC$14,43,FALSE))/(T$150-T$149)*10)))</f>
        <v>x</v>
      </c>
      <c r="U6" s="3" t="str">
        <f t="shared" si="10"/>
        <v>x</v>
      </c>
      <c r="V6" s="5">
        <f t="shared" si="1"/>
        <v>7.425569899451915</v>
      </c>
      <c r="W6" s="2">
        <f>IF(VLOOKUP($B6,'Indicator Data (national)'!$B$5:$AS$14,37,FALSE)="No data","x",IF(VLOOKUP($B6,'Indicator Data (national)'!$B$5:$AS$14,37,FALSE)&gt;W$150,10,IF(VLOOKUP($B6,'Indicator Data (national)'!$B$5:$AS$14,37,FALSE)&lt;W$149,0,(LOG(W$150)-LOG(VLOOKUP($B6,'Indicator Data (national)'!$B$5:$AS$14,37,FALSE)))/(LOG(W$150)-LOG(W$149))*10)))</f>
        <v>9.6403370343401456</v>
      </c>
      <c r="X6" s="2">
        <f>IF(VLOOKUP($B6,'Indicator Data (national)'!$B$5:$BB$14,45,FALSE)="No data","x",IF(VLOOKUP($B6,'Indicator Data (national)'!$B$5:$BB$14,45,FALSE)&gt;X$150,10,IF(VLOOKUP($B6,'Indicator Data (national)'!$B$5:$BB$14,45,FALSE)&lt;X$149,0,10-(X$150-VLOOKUP($B6,'Indicator Data (national)'!$B$5:$BB$14,45,FALSE))/(X$150-X$149)*10)))</f>
        <v>2.8888888888888884</v>
      </c>
      <c r="Y6" s="2">
        <f>IF(VLOOKUP($B6,'Indicator Data (national)'!$B$5:$BB$14,46,FALSE)="No data","x",IF(VLOOKUP($B6,'Indicator Data (national)'!$B$5:$BB$14,46,FALSE)&gt;Y$150,10,IF(VLOOKUP($B6,'Indicator Data (national)'!$B$5:$BB$14,46,FALSE)&lt;Y$149,0,(Y$150-VLOOKUP($B6,'Indicator Data (national)'!$B$5:$BB$14,46,FALSE))/(Y$150-Y$149)*10)))</f>
        <v>3</v>
      </c>
      <c r="Z6" s="156">
        <f>IF(VLOOKUP($B6,'Indicator Data (national)'!$B$5:$BB$14,48,FALSE)="No data","x",VLOOKUP($B6,'Indicator Data (national)'!$B$5:$BB$14,47,FALSE)*VLOOKUP($B6,'Indicator Data (national)'!$B$5:$BB$14,48,FALSE))</f>
        <v>6.7502679667710721</v>
      </c>
      <c r="AA6" s="2">
        <f t="shared" si="11"/>
        <v>9.3249732033228927</v>
      </c>
      <c r="AB6" s="3">
        <f t="shared" si="12"/>
        <v>6.2135497816379814</v>
      </c>
      <c r="AC6" s="2">
        <f>IF(VLOOKUP($B6,'Indicator Data (national)'!$B$5:$BB$14,49,FALSE)="No data","x",IF(VLOOKUP($B6,'Indicator Data (national)'!$B$5:$BB$14,49,FALSE)&gt;AC$150,0,IF(VLOOKUP($B6,'Indicator Data (national)'!$B$5:$BB$14,49,FALSE)&lt;AC$149,10,(AC$150-VLOOKUP($B6,'Indicator Data (national)'!$B$5:$BB$14,49,FALSE))/(AC$150-AC$149)*10)))</f>
        <v>9.9760000000000009</v>
      </c>
      <c r="AD6" s="2">
        <f>IF(VLOOKUP($B6,'Indicator Data (national)'!$B$5:$BB$14,50,FALSE)="No data","x",IF(VLOOKUP($B6,'Indicator Data (national)'!$B$5:$BB$14,50,FALSE)&gt;AD$150,0,IF(VLOOKUP($B6,'Indicator Data (national)'!$B$5:$BB$14,50,FALSE)&lt;AD$149,10,(AD$150-VLOOKUP($B6,'Indicator Data (national)'!$B$5:$BB$14,50,FALSE))/(AD$150-AD$149)*10)))</f>
        <v>9.9932000000000016</v>
      </c>
      <c r="AE6" s="3">
        <f t="shared" si="13"/>
        <v>9.9846000000000004</v>
      </c>
      <c r="AF6" s="2">
        <f>IF(VLOOKUP($B6,'Indicator Data (national)'!$B$5:$BB$14,51,FALSE)="No data","x",IF(VLOOKUP($B6,'Indicator Data (national)'!$B$5:$BB$14,51,FALSE)&gt;AF$150,0,IF(VLOOKUP($B6,'Indicator Data (national)'!$B$5:$BB$14,51,FALSE)&lt;AF$149,10,(AF$150-VLOOKUP($B6,'Indicator Data (national)'!$B$5:$BB$14,51,FALSE))/(AF$150-AF$149)*10)))</f>
        <v>6.2115135335653671</v>
      </c>
      <c r="AG6" s="2">
        <f>IF(VLOOKUP($B6,'Indicator Data (national)'!$B$5:$BB$14,52,FALSE)="No data","x",IF(VLOOKUP($B6,'Indicator Data (national)'!$B$5:$BB$14,52,FALSE)&gt;AG$150,0,IF(VLOOKUP($B6,'Indicator Data (national)'!$B$5:$BB$14,52,FALSE)&lt;AG$149,10,(AG$150-VLOOKUP($B6,'Indicator Data (national)'!$B$5:$BB$14,52,FALSE))/(AG$150-AG$149)*10)))</f>
        <v>9.0606648000000014</v>
      </c>
      <c r="AH6" s="2">
        <f>IF(VLOOKUP($B6,'Indicator Data (national)'!$B$5:$BB$14,53,FALSE)="No data","x",IF(VLOOKUP($B6,'Indicator Data (national)'!$B$5:$BB$14,53,FALSE)&gt;AH$150,0,IF(VLOOKUP($B6,'Indicator Data (national)'!$B$5:$BB$14,53,FALSE)&lt;AH$149,10,(AH$150-VLOOKUP($B6,'Indicator Data (national)'!$B$5:$BB$14,53,FALSE))/(AH$150-AH$149)*10)))</f>
        <v>6.4163309694955863</v>
      </c>
      <c r="AI6" s="3">
        <f t="shared" si="14"/>
        <v>7.2295031010203177</v>
      </c>
      <c r="AJ6" s="5">
        <f t="shared" si="2"/>
        <v>7.8092176275527656</v>
      </c>
    </row>
    <row r="7" spans="1:50" s="11" customFormat="1" x14ac:dyDescent="0.25">
      <c r="A7" s="16" t="s">
        <v>336</v>
      </c>
      <c r="B7" s="126" t="s">
        <v>572</v>
      </c>
      <c r="C7" s="16" t="s">
        <v>337</v>
      </c>
      <c r="D7" s="120">
        <f>(VLOOKUP($B7,'Indicator Data (national)'!$B$5:$AP$14,39,FALSE)+VLOOKUP($B7,'Indicator Data (national)'!$B$5:$AP$14,40,FALSE)+VLOOKUP($B7,'Indicator Data (national)'!$B$5:$AP$14,41,FALSE))/VLOOKUP($B7,'Indicator Data (national)'!$B$5:$AP$14,38,FALSE)*1000000</f>
        <v>1.2851128045648466</v>
      </c>
      <c r="E7" s="2">
        <f t="shared" si="3"/>
        <v>3.5744359771757672</v>
      </c>
      <c r="F7" s="3">
        <f t="shared" si="4"/>
        <v>3.5744359771757672</v>
      </c>
      <c r="G7" s="2">
        <f>IF(VLOOKUP($B7,'Indicator Data (national)'!$B$5:$AQ$14,30,FALSE)="No data","x",IF(VLOOKUP($B7,'Indicator Data (national)'!$B$5:$AQ$14,30,FALSE)&gt;G$150,10,IF(VLOOKUP($B7,'Indicator Data (national)'!$B$5:$AQ$14,30,FALSE)&lt;G$149,0,(G$150-VLOOKUP($B7,'Indicator Data (national)'!$B$5:$AQ$14,30,FALSE))/(G$150-G$149)*10)))</f>
        <v>8</v>
      </c>
      <c r="H7" s="2">
        <f>IF(VLOOKUP($B7,'Indicator Data (national)'!$B$5:$AQ$14,29,FALSE)="No data","x",IF(VLOOKUP($B7,'Indicator Data (national)'!$B$5:$AQ$14,29,FALSE)&gt;H$150,10,IF(VLOOKUP($B7,'Indicator Data (national)'!$B$5:$AQ$14,29,FALSE)&lt;H$149,0,(H$150-VLOOKUP($B7,'Indicator Data (national)'!$B$5:$AQ$14,29,FALSE))/(H$150-H$149)*10)))</f>
        <v>7.1496026515960693</v>
      </c>
      <c r="I7" s="3">
        <f t="shared" si="5"/>
        <v>7.5748013257980347</v>
      </c>
      <c r="J7" s="5">
        <f t="shared" si="6"/>
        <v>5.5746186514869009</v>
      </c>
      <c r="K7" s="2">
        <f>IF(VLOOKUP($B7,'Indicator Data (national)'!$B$5:$AQ$14,33,FALSE)="No data","x",IF(VLOOKUP($B7,'Indicator Data (national)'!$B$5:$AQ$14,33,FALSE)&gt;K$150,10,IF(VLOOKUP($B7,'Indicator Data (national)'!$B$5:$AQ$14,33,FALSE)&lt;K$149,0,(K$150-VLOOKUP($B7,'Indicator Data (national)'!$B$5:$AQ$14,33,FALSE))/(K$150-K$149)*10)))</f>
        <v>9.74</v>
      </c>
      <c r="L7" s="2">
        <f>IF(VLOOKUP($B7,'Indicator Data (national)'!$B$5:$AQ$14,34,FALSE)="No data","x",IF(VLOOKUP($B7,'Indicator Data (national)'!$B$5:$AQ$14,34,FALSE)&gt;L$150,10,IF(VLOOKUP($B7,'Indicator Data (national)'!$B$5:$AQ$14,34,FALSE)&lt;L$149,0,(L$150-VLOOKUP($B7,'Indicator Data (national)'!$B$5:$AQ$14,34,FALSE))/(L$150-L$149)*10)))</f>
        <v>7.5037411936316705</v>
      </c>
      <c r="M7" s="3">
        <f t="shared" si="7"/>
        <v>8.6218705968158353</v>
      </c>
      <c r="N7" s="2">
        <f>IF(VLOOKUP($B7,'Indicator Data (national)'!$B$5:$AS$14,44,FALSE)="No data","x",IF(VLOOKUP($B7,'Indicator Data (national)'!$B$5:$AS$14,44,FALSE)&gt;N$150,10,IF(VLOOKUP($B7,'Indicator Data (national)'!$B$5:$AS$14,44,FALSE)&lt;N$149,0,10-(N$150-VLOOKUP($B7,'Indicator Data (national)'!$B$5:$AS$14,44,FALSE))/(N$150-N$149)*10)))</f>
        <v>5.3444444444444441</v>
      </c>
      <c r="O7" s="2">
        <f>IF(VLOOKUP($B7,'Indicator Data (national)'!$B$5:$AS$14,42,FALSE)="No data","x",IF(VLOOKUP($B7,'Indicator Data (national)'!$B$5:$AS$14,42,FALSE)&gt;O$150,0,IF(VLOOKUP($B7,'Indicator Data (national)'!$B$5:$AS$14,42,FALSE)&lt;O$149,10,(O$150-VLOOKUP($B7,'Indicator Data (national)'!$B$5:$AS$14,42,FALSE))/(O$150-O$149)*10)))</f>
        <v>7.1140939597315436</v>
      </c>
      <c r="P7" s="158">
        <f t="shared" si="8"/>
        <v>6.2292692020879938</v>
      </c>
      <c r="Q7" s="2" t="str">
        <f>IF(VLOOKUP($B7,'Indicator Data (national)'!$B$5:$Q$14,16,FALSE)="No data","x",IF(VLOOKUP($B7,'Indicator Data (national)'!$B$5:$Q$14,16,FALSE)&gt;Q$150,0,IF(VLOOKUP($B7,'Indicator Data (national)'!$B$5:$Q$14,16,FALSE)&lt;Q$149,10,(Q$150-VLOOKUP($B7,'Indicator Data (national)'!$B$5:$Q$14,16,FALSE))/(Q$150-Q$149)*10)))</f>
        <v>x</v>
      </c>
      <c r="R7" s="158" t="str">
        <f t="shared" si="9"/>
        <v>x</v>
      </c>
      <c r="S7" s="3">
        <f t="shared" si="0"/>
        <v>6.2292692020879938</v>
      </c>
      <c r="T7" s="2" t="str">
        <f>IF(VLOOKUP($B7,'Indicator Data (national)'!$B$5:$BC$14,43,FALSE)="No data","x",IF(VLOOKUP($B7,'Indicator Data (national)'!$B$5:$BC$14,43,FALSE)&gt;T$150,10,IF(VLOOKUP($B7,'Indicator Data (national)'!$B$5:$BC$14,43,FALSE)&lt;T$149,0,(T$150-VLOOKUP($B7,'Indicator Data (national)'!$B$5:$BC$14,43,FALSE))/(T$150-T$149)*10)))</f>
        <v>x</v>
      </c>
      <c r="U7" s="3" t="str">
        <f t="shared" si="10"/>
        <v>x</v>
      </c>
      <c r="V7" s="5">
        <f t="shared" si="1"/>
        <v>7.425569899451915</v>
      </c>
      <c r="W7" s="2">
        <f>IF(VLOOKUP($B7,'Indicator Data (national)'!$B$5:$AS$14,37,FALSE)="No data","x",IF(VLOOKUP($B7,'Indicator Data (national)'!$B$5:$AS$14,37,FALSE)&gt;W$150,10,IF(VLOOKUP($B7,'Indicator Data (national)'!$B$5:$AS$14,37,FALSE)&lt;W$149,0,(LOG(W$150)-LOG(VLOOKUP($B7,'Indicator Data (national)'!$B$5:$AS$14,37,FALSE)))/(LOG(W$150)-LOG(W$149))*10)))</f>
        <v>9.6403370343401456</v>
      </c>
      <c r="X7" s="2">
        <f>IF(VLOOKUP($B7,'Indicator Data (national)'!$B$5:$BB$14,45,FALSE)="No data","x",IF(VLOOKUP($B7,'Indicator Data (national)'!$B$5:$BB$14,45,FALSE)&gt;X$150,10,IF(VLOOKUP($B7,'Indicator Data (national)'!$B$5:$BB$14,45,FALSE)&lt;X$149,0,10-(X$150-VLOOKUP($B7,'Indicator Data (national)'!$B$5:$BB$14,45,FALSE))/(X$150-X$149)*10)))</f>
        <v>2.8888888888888884</v>
      </c>
      <c r="Y7" s="2">
        <f>IF(VLOOKUP($B7,'Indicator Data (national)'!$B$5:$BB$14,46,FALSE)="No data","x",IF(VLOOKUP($B7,'Indicator Data (national)'!$B$5:$BB$14,46,FALSE)&gt;Y$150,10,IF(VLOOKUP($B7,'Indicator Data (national)'!$B$5:$BB$14,46,FALSE)&lt;Y$149,0,(Y$150-VLOOKUP($B7,'Indicator Data (national)'!$B$5:$BB$14,46,FALSE))/(Y$150-Y$149)*10)))</f>
        <v>3</v>
      </c>
      <c r="Z7" s="156">
        <f>IF(VLOOKUP($B7,'Indicator Data (national)'!$B$5:$BB$14,48,FALSE)="No data","x",VLOOKUP($B7,'Indicator Data (national)'!$B$5:$BB$14,47,FALSE)*VLOOKUP($B7,'Indicator Data (national)'!$B$5:$BB$14,48,FALSE))</f>
        <v>6.7502679667710721</v>
      </c>
      <c r="AA7" s="2">
        <f t="shared" si="11"/>
        <v>9.3249732033228927</v>
      </c>
      <c r="AB7" s="3">
        <f t="shared" si="12"/>
        <v>6.2135497816379814</v>
      </c>
      <c r="AC7" s="2">
        <f>IF(VLOOKUP($B7,'Indicator Data (national)'!$B$5:$BB$14,49,FALSE)="No data","x",IF(VLOOKUP($B7,'Indicator Data (national)'!$B$5:$BB$14,49,FALSE)&gt;AC$150,0,IF(VLOOKUP($B7,'Indicator Data (national)'!$B$5:$BB$14,49,FALSE)&lt;AC$149,10,(AC$150-VLOOKUP($B7,'Indicator Data (national)'!$B$5:$BB$14,49,FALSE))/(AC$150-AC$149)*10)))</f>
        <v>9.9760000000000009</v>
      </c>
      <c r="AD7" s="2">
        <f>IF(VLOOKUP($B7,'Indicator Data (national)'!$B$5:$BB$14,50,FALSE)="No data","x",IF(VLOOKUP($B7,'Indicator Data (national)'!$B$5:$BB$14,50,FALSE)&gt;AD$150,0,IF(VLOOKUP($B7,'Indicator Data (national)'!$B$5:$BB$14,50,FALSE)&lt;AD$149,10,(AD$150-VLOOKUP($B7,'Indicator Data (national)'!$B$5:$BB$14,50,FALSE))/(AD$150-AD$149)*10)))</f>
        <v>9.9932000000000016</v>
      </c>
      <c r="AE7" s="3">
        <f t="shared" si="13"/>
        <v>9.9846000000000004</v>
      </c>
      <c r="AF7" s="2">
        <f>IF(VLOOKUP($B7,'Indicator Data (national)'!$B$5:$BB$14,51,FALSE)="No data","x",IF(VLOOKUP($B7,'Indicator Data (national)'!$B$5:$BB$14,51,FALSE)&gt;AF$150,0,IF(VLOOKUP($B7,'Indicator Data (national)'!$B$5:$BB$14,51,FALSE)&lt;AF$149,10,(AF$150-VLOOKUP($B7,'Indicator Data (national)'!$B$5:$BB$14,51,FALSE))/(AF$150-AF$149)*10)))</f>
        <v>6.2115135335653671</v>
      </c>
      <c r="AG7" s="2">
        <f>IF(VLOOKUP($B7,'Indicator Data (national)'!$B$5:$BB$14,52,FALSE)="No data","x",IF(VLOOKUP($B7,'Indicator Data (national)'!$B$5:$BB$14,52,FALSE)&gt;AG$150,0,IF(VLOOKUP($B7,'Indicator Data (national)'!$B$5:$BB$14,52,FALSE)&lt;AG$149,10,(AG$150-VLOOKUP($B7,'Indicator Data (national)'!$B$5:$BB$14,52,FALSE))/(AG$150-AG$149)*10)))</f>
        <v>9.0606648000000014</v>
      </c>
      <c r="AH7" s="2">
        <f>IF(VLOOKUP($B7,'Indicator Data (national)'!$B$5:$BB$14,53,FALSE)="No data","x",IF(VLOOKUP($B7,'Indicator Data (national)'!$B$5:$BB$14,53,FALSE)&gt;AH$150,0,IF(VLOOKUP($B7,'Indicator Data (national)'!$B$5:$BB$14,53,FALSE)&lt;AH$149,10,(AH$150-VLOOKUP($B7,'Indicator Data (national)'!$B$5:$BB$14,53,FALSE))/(AH$150-AH$149)*10)))</f>
        <v>6.4163309694955863</v>
      </c>
      <c r="AI7" s="3">
        <f t="shared" si="14"/>
        <v>7.2295031010203177</v>
      </c>
      <c r="AJ7" s="5">
        <f t="shared" si="2"/>
        <v>7.8092176275527656</v>
      </c>
    </row>
    <row r="8" spans="1:50" s="11" customFormat="1" x14ac:dyDescent="0.25">
      <c r="A8" s="16" t="s">
        <v>338</v>
      </c>
      <c r="B8" s="126" t="s">
        <v>572</v>
      </c>
      <c r="C8" s="16" t="s">
        <v>339</v>
      </c>
      <c r="D8" s="120">
        <f>(VLOOKUP($B8,'Indicator Data (national)'!$B$5:$AP$14,39,FALSE)+VLOOKUP($B8,'Indicator Data (national)'!$B$5:$AP$14,40,FALSE)+VLOOKUP($B8,'Indicator Data (national)'!$B$5:$AP$14,41,FALSE))/VLOOKUP($B8,'Indicator Data (national)'!$B$5:$AP$14,38,FALSE)*1000000</f>
        <v>1.2851128045648466</v>
      </c>
      <c r="E8" s="2">
        <f t="shared" si="3"/>
        <v>3.5744359771757672</v>
      </c>
      <c r="F8" s="3">
        <f t="shared" si="4"/>
        <v>3.5744359771757672</v>
      </c>
      <c r="G8" s="2">
        <f>IF(VLOOKUP($B8,'Indicator Data (national)'!$B$5:$AQ$14,30,FALSE)="No data","x",IF(VLOOKUP($B8,'Indicator Data (national)'!$B$5:$AQ$14,30,FALSE)&gt;G$150,10,IF(VLOOKUP($B8,'Indicator Data (national)'!$B$5:$AQ$14,30,FALSE)&lt;G$149,0,(G$150-VLOOKUP($B8,'Indicator Data (national)'!$B$5:$AQ$14,30,FALSE))/(G$150-G$149)*10)))</f>
        <v>8</v>
      </c>
      <c r="H8" s="2">
        <f>IF(VLOOKUP($B8,'Indicator Data (national)'!$B$5:$AQ$14,29,FALSE)="No data","x",IF(VLOOKUP($B8,'Indicator Data (national)'!$B$5:$AQ$14,29,FALSE)&gt;H$150,10,IF(VLOOKUP($B8,'Indicator Data (national)'!$B$5:$AQ$14,29,FALSE)&lt;H$149,0,(H$150-VLOOKUP($B8,'Indicator Data (national)'!$B$5:$AQ$14,29,FALSE))/(H$150-H$149)*10)))</f>
        <v>7.1496026515960693</v>
      </c>
      <c r="I8" s="3">
        <f t="shared" si="5"/>
        <v>7.5748013257980347</v>
      </c>
      <c r="J8" s="5">
        <f t="shared" si="6"/>
        <v>5.5746186514869009</v>
      </c>
      <c r="K8" s="2">
        <f>IF(VLOOKUP($B8,'Indicator Data (national)'!$B$5:$AQ$14,33,FALSE)="No data","x",IF(VLOOKUP($B8,'Indicator Data (national)'!$B$5:$AQ$14,33,FALSE)&gt;K$150,10,IF(VLOOKUP($B8,'Indicator Data (national)'!$B$5:$AQ$14,33,FALSE)&lt;K$149,0,(K$150-VLOOKUP($B8,'Indicator Data (national)'!$B$5:$AQ$14,33,FALSE))/(K$150-K$149)*10)))</f>
        <v>9.74</v>
      </c>
      <c r="L8" s="2">
        <f>IF(VLOOKUP($B8,'Indicator Data (national)'!$B$5:$AQ$14,34,FALSE)="No data","x",IF(VLOOKUP($B8,'Indicator Data (national)'!$B$5:$AQ$14,34,FALSE)&gt;L$150,10,IF(VLOOKUP($B8,'Indicator Data (national)'!$B$5:$AQ$14,34,FALSE)&lt;L$149,0,(L$150-VLOOKUP($B8,'Indicator Data (national)'!$B$5:$AQ$14,34,FALSE))/(L$150-L$149)*10)))</f>
        <v>7.5037411936316705</v>
      </c>
      <c r="M8" s="3">
        <f t="shared" si="7"/>
        <v>8.6218705968158353</v>
      </c>
      <c r="N8" s="2">
        <f>IF(VLOOKUP($B8,'Indicator Data (national)'!$B$5:$AS$14,44,FALSE)="No data","x",IF(VLOOKUP($B8,'Indicator Data (national)'!$B$5:$AS$14,44,FALSE)&gt;N$150,10,IF(VLOOKUP($B8,'Indicator Data (national)'!$B$5:$AS$14,44,FALSE)&lt;N$149,0,10-(N$150-VLOOKUP($B8,'Indicator Data (national)'!$B$5:$AS$14,44,FALSE))/(N$150-N$149)*10)))</f>
        <v>5.3444444444444441</v>
      </c>
      <c r="O8" s="2">
        <f>IF(VLOOKUP($B8,'Indicator Data (national)'!$B$5:$AS$14,42,FALSE)="No data","x",IF(VLOOKUP($B8,'Indicator Data (national)'!$B$5:$AS$14,42,FALSE)&gt;O$150,0,IF(VLOOKUP($B8,'Indicator Data (national)'!$B$5:$AS$14,42,FALSE)&lt;O$149,10,(O$150-VLOOKUP($B8,'Indicator Data (national)'!$B$5:$AS$14,42,FALSE))/(O$150-O$149)*10)))</f>
        <v>7.1140939597315436</v>
      </c>
      <c r="P8" s="158">
        <f t="shared" si="8"/>
        <v>6.2292692020879938</v>
      </c>
      <c r="Q8" s="2" t="str">
        <f>IF(VLOOKUP($B8,'Indicator Data (national)'!$B$5:$Q$14,16,FALSE)="No data","x",IF(VLOOKUP($B8,'Indicator Data (national)'!$B$5:$Q$14,16,FALSE)&gt;Q$150,0,IF(VLOOKUP($B8,'Indicator Data (national)'!$B$5:$Q$14,16,FALSE)&lt;Q$149,10,(Q$150-VLOOKUP($B8,'Indicator Data (national)'!$B$5:$Q$14,16,FALSE))/(Q$150-Q$149)*10)))</f>
        <v>x</v>
      </c>
      <c r="R8" s="158" t="str">
        <f t="shared" si="9"/>
        <v>x</v>
      </c>
      <c r="S8" s="3">
        <f t="shared" si="0"/>
        <v>6.2292692020879938</v>
      </c>
      <c r="T8" s="2" t="str">
        <f>IF(VLOOKUP($B8,'Indicator Data (national)'!$B$5:$BC$14,43,FALSE)="No data","x",IF(VLOOKUP($B8,'Indicator Data (national)'!$B$5:$BC$14,43,FALSE)&gt;T$150,10,IF(VLOOKUP($B8,'Indicator Data (national)'!$B$5:$BC$14,43,FALSE)&lt;T$149,0,(T$150-VLOOKUP($B8,'Indicator Data (national)'!$B$5:$BC$14,43,FALSE))/(T$150-T$149)*10)))</f>
        <v>x</v>
      </c>
      <c r="U8" s="3" t="str">
        <f t="shared" si="10"/>
        <v>x</v>
      </c>
      <c r="V8" s="5">
        <f t="shared" si="1"/>
        <v>7.425569899451915</v>
      </c>
      <c r="W8" s="2">
        <f>IF(VLOOKUP($B8,'Indicator Data (national)'!$B$5:$AS$14,37,FALSE)="No data","x",IF(VLOOKUP($B8,'Indicator Data (national)'!$B$5:$AS$14,37,FALSE)&gt;W$150,10,IF(VLOOKUP($B8,'Indicator Data (national)'!$B$5:$AS$14,37,FALSE)&lt;W$149,0,(LOG(W$150)-LOG(VLOOKUP($B8,'Indicator Data (national)'!$B$5:$AS$14,37,FALSE)))/(LOG(W$150)-LOG(W$149))*10)))</f>
        <v>9.6403370343401456</v>
      </c>
      <c r="X8" s="2">
        <f>IF(VLOOKUP($B8,'Indicator Data (national)'!$B$5:$BB$14,45,FALSE)="No data","x",IF(VLOOKUP($B8,'Indicator Data (national)'!$B$5:$BB$14,45,FALSE)&gt;X$150,10,IF(VLOOKUP($B8,'Indicator Data (national)'!$B$5:$BB$14,45,FALSE)&lt;X$149,0,10-(X$150-VLOOKUP($B8,'Indicator Data (national)'!$B$5:$BB$14,45,FALSE))/(X$150-X$149)*10)))</f>
        <v>2.8888888888888884</v>
      </c>
      <c r="Y8" s="2">
        <f>IF(VLOOKUP($B8,'Indicator Data (national)'!$B$5:$BB$14,46,FALSE)="No data","x",IF(VLOOKUP($B8,'Indicator Data (national)'!$B$5:$BB$14,46,FALSE)&gt;Y$150,10,IF(VLOOKUP($B8,'Indicator Data (national)'!$B$5:$BB$14,46,FALSE)&lt;Y$149,0,(Y$150-VLOOKUP($B8,'Indicator Data (national)'!$B$5:$BB$14,46,FALSE))/(Y$150-Y$149)*10)))</f>
        <v>3</v>
      </c>
      <c r="Z8" s="156">
        <f>IF(VLOOKUP($B8,'Indicator Data (national)'!$B$5:$BB$14,48,FALSE)="No data","x",VLOOKUP($B8,'Indicator Data (national)'!$B$5:$BB$14,47,FALSE)*VLOOKUP($B8,'Indicator Data (national)'!$B$5:$BB$14,48,FALSE))</f>
        <v>6.7502679667710721</v>
      </c>
      <c r="AA8" s="2">
        <f t="shared" si="11"/>
        <v>9.3249732033228927</v>
      </c>
      <c r="AB8" s="3">
        <f t="shared" si="12"/>
        <v>6.2135497816379814</v>
      </c>
      <c r="AC8" s="2">
        <f>IF(VLOOKUP($B8,'Indicator Data (national)'!$B$5:$BB$14,49,FALSE)="No data","x",IF(VLOOKUP($B8,'Indicator Data (national)'!$B$5:$BB$14,49,FALSE)&gt;AC$150,0,IF(VLOOKUP($B8,'Indicator Data (national)'!$B$5:$BB$14,49,FALSE)&lt;AC$149,10,(AC$150-VLOOKUP($B8,'Indicator Data (national)'!$B$5:$BB$14,49,FALSE))/(AC$150-AC$149)*10)))</f>
        <v>9.9760000000000009</v>
      </c>
      <c r="AD8" s="2">
        <f>IF(VLOOKUP($B8,'Indicator Data (national)'!$B$5:$BB$14,50,FALSE)="No data","x",IF(VLOOKUP($B8,'Indicator Data (national)'!$B$5:$BB$14,50,FALSE)&gt;AD$150,0,IF(VLOOKUP($B8,'Indicator Data (national)'!$B$5:$BB$14,50,FALSE)&lt;AD$149,10,(AD$150-VLOOKUP($B8,'Indicator Data (national)'!$B$5:$BB$14,50,FALSE))/(AD$150-AD$149)*10)))</f>
        <v>9.9932000000000016</v>
      </c>
      <c r="AE8" s="3">
        <f t="shared" si="13"/>
        <v>9.9846000000000004</v>
      </c>
      <c r="AF8" s="2">
        <f>IF(VLOOKUP($B8,'Indicator Data (national)'!$B$5:$BB$14,51,FALSE)="No data","x",IF(VLOOKUP($B8,'Indicator Data (national)'!$B$5:$BB$14,51,FALSE)&gt;AF$150,0,IF(VLOOKUP($B8,'Indicator Data (national)'!$B$5:$BB$14,51,FALSE)&lt;AF$149,10,(AF$150-VLOOKUP($B8,'Indicator Data (national)'!$B$5:$BB$14,51,FALSE))/(AF$150-AF$149)*10)))</f>
        <v>6.2115135335653671</v>
      </c>
      <c r="AG8" s="2">
        <f>IF(VLOOKUP($B8,'Indicator Data (national)'!$B$5:$BB$14,52,FALSE)="No data","x",IF(VLOOKUP($B8,'Indicator Data (national)'!$B$5:$BB$14,52,FALSE)&gt;AG$150,0,IF(VLOOKUP($B8,'Indicator Data (national)'!$B$5:$BB$14,52,FALSE)&lt;AG$149,10,(AG$150-VLOOKUP($B8,'Indicator Data (national)'!$B$5:$BB$14,52,FALSE))/(AG$150-AG$149)*10)))</f>
        <v>9.0606648000000014</v>
      </c>
      <c r="AH8" s="2">
        <f>IF(VLOOKUP($B8,'Indicator Data (national)'!$B$5:$BB$14,53,FALSE)="No data","x",IF(VLOOKUP($B8,'Indicator Data (national)'!$B$5:$BB$14,53,FALSE)&gt;AH$150,0,IF(VLOOKUP($B8,'Indicator Data (national)'!$B$5:$BB$14,53,FALSE)&lt;AH$149,10,(AH$150-VLOOKUP($B8,'Indicator Data (national)'!$B$5:$BB$14,53,FALSE))/(AH$150-AH$149)*10)))</f>
        <v>6.4163309694955863</v>
      </c>
      <c r="AI8" s="3">
        <f t="shared" si="14"/>
        <v>7.2295031010203177</v>
      </c>
      <c r="AJ8" s="5">
        <f t="shared" si="2"/>
        <v>7.8092176275527656</v>
      </c>
    </row>
    <row r="9" spans="1:50" s="11" customFormat="1" x14ac:dyDescent="0.25">
      <c r="A9" s="16" t="s">
        <v>340</v>
      </c>
      <c r="B9" s="126" t="s">
        <v>572</v>
      </c>
      <c r="C9" s="16" t="s">
        <v>341</v>
      </c>
      <c r="D9" s="120">
        <f>(VLOOKUP($B9,'Indicator Data (national)'!$B$5:$AP$14,39,FALSE)+VLOOKUP($B9,'Indicator Data (national)'!$B$5:$AP$14,40,FALSE)+VLOOKUP($B9,'Indicator Data (national)'!$B$5:$AP$14,41,FALSE))/VLOOKUP($B9,'Indicator Data (national)'!$B$5:$AP$14,38,FALSE)*1000000</f>
        <v>1.2851128045648466</v>
      </c>
      <c r="E9" s="2">
        <f t="shared" si="3"/>
        <v>3.5744359771757672</v>
      </c>
      <c r="F9" s="3">
        <f t="shared" si="4"/>
        <v>3.5744359771757672</v>
      </c>
      <c r="G9" s="2">
        <f>IF(VLOOKUP($B9,'Indicator Data (national)'!$B$5:$AQ$14,30,FALSE)="No data","x",IF(VLOOKUP($B9,'Indicator Data (national)'!$B$5:$AQ$14,30,FALSE)&gt;G$150,10,IF(VLOOKUP($B9,'Indicator Data (national)'!$B$5:$AQ$14,30,FALSE)&lt;G$149,0,(G$150-VLOOKUP($B9,'Indicator Data (national)'!$B$5:$AQ$14,30,FALSE))/(G$150-G$149)*10)))</f>
        <v>8</v>
      </c>
      <c r="H9" s="2">
        <f>IF(VLOOKUP($B9,'Indicator Data (national)'!$B$5:$AQ$14,29,FALSE)="No data","x",IF(VLOOKUP($B9,'Indicator Data (national)'!$B$5:$AQ$14,29,FALSE)&gt;H$150,10,IF(VLOOKUP($B9,'Indicator Data (national)'!$B$5:$AQ$14,29,FALSE)&lt;H$149,0,(H$150-VLOOKUP($B9,'Indicator Data (national)'!$B$5:$AQ$14,29,FALSE))/(H$150-H$149)*10)))</f>
        <v>7.1496026515960693</v>
      </c>
      <c r="I9" s="3">
        <f t="shared" si="5"/>
        <v>7.5748013257980347</v>
      </c>
      <c r="J9" s="5">
        <f t="shared" si="6"/>
        <v>5.5746186514869009</v>
      </c>
      <c r="K9" s="2">
        <f>IF(VLOOKUP($B9,'Indicator Data (national)'!$B$5:$AQ$14,33,FALSE)="No data","x",IF(VLOOKUP($B9,'Indicator Data (national)'!$B$5:$AQ$14,33,FALSE)&gt;K$150,10,IF(VLOOKUP($B9,'Indicator Data (national)'!$B$5:$AQ$14,33,FALSE)&lt;K$149,0,(K$150-VLOOKUP($B9,'Indicator Data (national)'!$B$5:$AQ$14,33,FALSE))/(K$150-K$149)*10)))</f>
        <v>9.74</v>
      </c>
      <c r="L9" s="2">
        <f>IF(VLOOKUP($B9,'Indicator Data (national)'!$B$5:$AQ$14,34,FALSE)="No data","x",IF(VLOOKUP($B9,'Indicator Data (national)'!$B$5:$AQ$14,34,FALSE)&gt;L$150,10,IF(VLOOKUP($B9,'Indicator Data (national)'!$B$5:$AQ$14,34,FALSE)&lt;L$149,0,(L$150-VLOOKUP($B9,'Indicator Data (national)'!$B$5:$AQ$14,34,FALSE))/(L$150-L$149)*10)))</f>
        <v>7.5037411936316705</v>
      </c>
      <c r="M9" s="3">
        <f t="shared" si="7"/>
        <v>8.6218705968158353</v>
      </c>
      <c r="N9" s="2">
        <f>IF(VLOOKUP($B9,'Indicator Data (national)'!$B$5:$AS$14,44,FALSE)="No data","x",IF(VLOOKUP($B9,'Indicator Data (national)'!$B$5:$AS$14,44,FALSE)&gt;N$150,10,IF(VLOOKUP($B9,'Indicator Data (national)'!$B$5:$AS$14,44,FALSE)&lt;N$149,0,10-(N$150-VLOOKUP($B9,'Indicator Data (national)'!$B$5:$AS$14,44,FALSE))/(N$150-N$149)*10)))</f>
        <v>5.3444444444444441</v>
      </c>
      <c r="O9" s="2">
        <f>IF(VLOOKUP($B9,'Indicator Data (national)'!$B$5:$AS$14,42,FALSE)="No data","x",IF(VLOOKUP($B9,'Indicator Data (national)'!$B$5:$AS$14,42,FALSE)&gt;O$150,0,IF(VLOOKUP($B9,'Indicator Data (national)'!$B$5:$AS$14,42,FALSE)&lt;O$149,10,(O$150-VLOOKUP($B9,'Indicator Data (national)'!$B$5:$AS$14,42,FALSE))/(O$150-O$149)*10)))</f>
        <v>7.1140939597315436</v>
      </c>
      <c r="P9" s="158">
        <f t="shared" si="8"/>
        <v>6.2292692020879938</v>
      </c>
      <c r="Q9" s="2" t="str">
        <f>IF(VLOOKUP($B9,'Indicator Data (national)'!$B$5:$Q$14,16,FALSE)="No data","x",IF(VLOOKUP($B9,'Indicator Data (national)'!$B$5:$Q$14,16,FALSE)&gt;Q$150,0,IF(VLOOKUP($B9,'Indicator Data (national)'!$B$5:$Q$14,16,FALSE)&lt;Q$149,10,(Q$150-VLOOKUP($B9,'Indicator Data (national)'!$B$5:$Q$14,16,FALSE))/(Q$150-Q$149)*10)))</f>
        <v>x</v>
      </c>
      <c r="R9" s="158" t="str">
        <f t="shared" si="9"/>
        <v>x</v>
      </c>
      <c r="S9" s="3">
        <f t="shared" si="0"/>
        <v>6.2292692020879938</v>
      </c>
      <c r="T9" s="2" t="str">
        <f>IF(VLOOKUP($B9,'Indicator Data (national)'!$B$5:$BC$14,43,FALSE)="No data","x",IF(VLOOKUP($B9,'Indicator Data (national)'!$B$5:$BC$14,43,FALSE)&gt;T$150,10,IF(VLOOKUP($B9,'Indicator Data (national)'!$B$5:$BC$14,43,FALSE)&lt;T$149,0,(T$150-VLOOKUP($B9,'Indicator Data (national)'!$B$5:$BC$14,43,FALSE))/(T$150-T$149)*10)))</f>
        <v>x</v>
      </c>
      <c r="U9" s="3" t="str">
        <f t="shared" si="10"/>
        <v>x</v>
      </c>
      <c r="V9" s="5">
        <f t="shared" si="1"/>
        <v>7.425569899451915</v>
      </c>
      <c r="W9" s="2">
        <f>IF(VLOOKUP($B9,'Indicator Data (national)'!$B$5:$AS$14,37,FALSE)="No data","x",IF(VLOOKUP($B9,'Indicator Data (national)'!$B$5:$AS$14,37,FALSE)&gt;W$150,10,IF(VLOOKUP($B9,'Indicator Data (national)'!$B$5:$AS$14,37,FALSE)&lt;W$149,0,(LOG(W$150)-LOG(VLOOKUP($B9,'Indicator Data (national)'!$B$5:$AS$14,37,FALSE)))/(LOG(W$150)-LOG(W$149))*10)))</f>
        <v>9.6403370343401456</v>
      </c>
      <c r="X9" s="2">
        <f>IF(VLOOKUP($B9,'Indicator Data (national)'!$B$5:$BB$14,45,FALSE)="No data","x",IF(VLOOKUP($B9,'Indicator Data (national)'!$B$5:$BB$14,45,FALSE)&gt;X$150,10,IF(VLOOKUP($B9,'Indicator Data (national)'!$B$5:$BB$14,45,FALSE)&lt;X$149,0,10-(X$150-VLOOKUP($B9,'Indicator Data (national)'!$B$5:$BB$14,45,FALSE))/(X$150-X$149)*10)))</f>
        <v>2.8888888888888884</v>
      </c>
      <c r="Y9" s="2">
        <f>IF(VLOOKUP($B9,'Indicator Data (national)'!$B$5:$BB$14,46,FALSE)="No data","x",IF(VLOOKUP($B9,'Indicator Data (national)'!$B$5:$BB$14,46,FALSE)&gt;Y$150,10,IF(VLOOKUP($B9,'Indicator Data (national)'!$B$5:$BB$14,46,FALSE)&lt;Y$149,0,(Y$150-VLOOKUP($B9,'Indicator Data (national)'!$B$5:$BB$14,46,FALSE))/(Y$150-Y$149)*10)))</f>
        <v>3</v>
      </c>
      <c r="Z9" s="156">
        <f>IF(VLOOKUP($B9,'Indicator Data (national)'!$B$5:$BB$14,48,FALSE)="No data","x",VLOOKUP($B9,'Indicator Data (national)'!$B$5:$BB$14,47,FALSE)*VLOOKUP($B9,'Indicator Data (national)'!$B$5:$BB$14,48,FALSE))</f>
        <v>6.7502679667710721</v>
      </c>
      <c r="AA9" s="2">
        <f t="shared" si="11"/>
        <v>9.3249732033228927</v>
      </c>
      <c r="AB9" s="3">
        <f t="shared" si="12"/>
        <v>6.2135497816379814</v>
      </c>
      <c r="AC9" s="2">
        <f>IF(VLOOKUP($B9,'Indicator Data (national)'!$B$5:$BB$14,49,FALSE)="No data","x",IF(VLOOKUP($B9,'Indicator Data (national)'!$B$5:$BB$14,49,FALSE)&gt;AC$150,0,IF(VLOOKUP($B9,'Indicator Data (national)'!$B$5:$BB$14,49,FALSE)&lt;AC$149,10,(AC$150-VLOOKUP($B9,'Indicator Data (national)'!$B$5:$BB$14,49,FALSE))/(AC$150-AC$149)*10)))</f>
        <v>9.9760000000000009</v>
      </c>
      <c r="AD9" s="2">
        <f>IF(VLOOKUP($B9,'Indicator Data (national)'!$B$5:$BB$14,50,FALSE)="No data","x",IF(VLOOKUP($B9,'Indicator Data (national)'!$B$5:$BB$14,50,FALSE)&gt;AD$150,0,IF(VLOOKUP($B9,'Indicator Data (national)'!$B$5:$BB$14,50,FALSE)&lt;AD$149,10,(AD$150-VLOOKUP($B9,'Indicator Data (national)'!$B$5:$BB$14,50,FALSE))/(AD$150-AD$149)*10)))</f>
        <v>9.9932000000000016</v>
      </c>
      <c r="AE9" s="3">
        <f t="shared" si="13"/>
        <v>9.9846000000000004</v>
      </c>
      <c r="AF9" s="2">
        <f>IF(VLOOKUP($B9,'Indicator Data (national)'!$B$5:$BB$14,51,FALSE)="No data","x",IF(VLOOKUP($B9,'Indicator Data (national)'!$B$5:$BB$14,51,FALSE)&gt;AF$150,0,IF(VLOOKUP($B9,'Indicator Data (national)'!$B$5:$BB$14,51,FALSE)&lt;AF$149,10,(AF$150-VLOOKUP($B9,'Indicator Data (national)'!$B$5:$BB$14,51,FALSE))/(AF$150-AF$149)*10)))</f>
        <v>6.2115135335653671</v>
      </c>
      <c r="AG9" s="2">
        <f>IF(VLOOKUP($B9,'Indicator Data (national)'!$B$5:$BB$14,52,FALSE)="No data","x",IF(VLOOKUP($B9,'Indicator Data (national)'!$B$5:$BB$14,52,FALSE)&gt;AG$150,0,IF(VLOOKUP($B9,'Indicator Data (national)'!$B$5:$BB$14,52,FALSE)&lt;AG$149,10,(AG$150-VLOOKUP($B9,'Indicator Data (national)'!$B$5:$BB$14,52,FALSE))/(AG$150-AG$149)*10)))</f>
        <v>9.0606648000000014</v>
      </c>
      <c r="AH9" s="2">
        <f>IF(VLOOKUP($B9,'Indicator Data (national)'!$B$5:$BB$14,53,FALSE)="No data","x",IF(VLOOKUP($B9,'Indicator Data (national)'!$B$5:$BB$14,53,FALSE)&gt;AH$150,0,IF(VLOOKUP($B9,'Indicator Data (national)'!$B$5:$BB$14,53,FALSE)&lt;AH$149,10,(AH$150-VLOOKUP($B9,'Indicator Data (national)'!$B$5:$BB$14,53,FALSE))/(AH$150-AH$149)*10)))</f>
        <v>6.4163309694955863</v>
      </c>
      <c r="AI9" s="3">
        <f t="shared" si="14"/>
        <v>7.2295031010203177</v>
      </c>
      <c r="AJ9" s="5">
        <f t="shared" si="2"/>
        <v>7.8092176275527656</v>
      </c>
    </row>
    <row r="10" spans="1:50" s="11" customFormat="1" x14ac:dyDescent="0.25">
      <c r="A10" s="16" t="s">
        <v>342</v>
      </c>
      <c r="B10" s="126" t="s">
        <v>572</v>
      </c>
      <c r="C10" s="16" t="s">
        <v>343</v>
      </c>
      <c r="D10" s="120">
        <f>(VLOOKUP($B10,'Indicator Data (national)'!$B$5:$AP$14,39,FALSE)+VLOOKUP($B10,'Indicator Data (national)'!$B$5:$AP$14,40,FALSE)+VLOOKUP($B10,'Indicator Data (national)'!$B$5:$AP$14,41,FALSE))/VLOOKUP($B10,'Indicator Data (national)'!$B$5:$AP$14,38,FALSE)*1000000</f>
        <v>1.2851128045648466</v>
      </c>
      <c r="E10" s="2">
        <f t="shared" si="3"/>
        <v>3.5744359771757672</v>
      </c>
      <c r="F10" s="3">
        <f t="shared" si="4"/>
        <v>3.5744359771757672</v>
      </c>
      <c r="G10" s="2">
        <f>IF(VLOOKUP($B10,'Indicator Data (national)'!$B$5:$AQ$14,30,FALSE)="No data","x",IF(VLOOKUP($B10,'Indicator Data (national)'!$B$5:$AQ$14,30,FALSE)&gt;G$150,10,IF(VLOOKUP($B10,'Indicator Data (national)'!$B$5:$AQ$14,30,FALSE)&lt;G$149,0,(G$150-VLOOKUP($B10,'Indicator Data (national)'!$B$5:$AQ$14,30,FALSE))/(G$150-G$149)*10)))</f>
        <v>8</v>
      </c>
      <c r="H10" s="2">
        <f>IF(VLOOKUP($B10,'Indicator Data (national)'!$B$5:$AQ$14,29,FALSE)="No data","x",IF(VLOOKUP($B10,'Indicator Data (national)'!$B$5:$AQ$14,29,FALSE)&gt;H$150,10,IF(VLOOKUP($B10,'Indicator Data (national)'!$B$5:$AQ$14,29,FALSE)&lt;H$149,0,(H$150-VLOOKUP($B10,'Indicator Data (national)'!$B$5:$AQ$14,29,FALSE))/(H$150-H$149)*10)))</f>
        <v>7.1496026515960693</v>
      </c>
      <c r="I10" s="3">
        <f t="shared" si="5"/>
        <v>7.5748013257980347</v>
      </c>
      <c r="J10" s="5">
        <f t="shared" si="6"/>
        <v>5.5746186514869009</v>
      </c>
      <c r="K10" s="2">
        <f>IF(VLOOKUP($B10,'Indicator Data (national)'!$B$5:$AQ$14,33,FALSE)="No data","x",IF(VLOOKUP($B10,'Indicator Data (national)'!$B$5:$AQ$14,33,FALSE)&gt;K$150,10,IF(VLOOKUP($B10,'Indicator Data (national)'!$B$5:$AQ$14,33,FALSE)&lt;K$149,0,(K$150-VLOOKUP($B10,'Indicator Data (national)'!$B$5:$AQ$14,33,FALSE))/(K$150-K$149)*10)))</f>
        <v>9.74</v>
      </c>
      <c r="L10" s="2">
        <f>IF(VLOOKUP($B10,'Indicator Data (national)'!$B$5:$AQ$14,34,FALSE)="No data","x",IF(VLOOKUP($B10,'Indicator Data (national)'!$B$5:$AQ$14,34,FALSE)&gt;L$150,10,IF(VLOOKUP($B10,'Indicator Data (national)'!$B$5:$AQ$14,34,FALSE)&lt;L$149,0,(L$150-VLOOKUP($B10,'Indicator Data (national)'!$B$5:$AQ$14,34,FALSE))/(L$150-L$149)*10)))</f>
        <v>7.5037411936316705</v>
      </c>
      <c r="M10" s="3">
        <f t="shared" si="7"/>
        <v>8.6218705968158353</v>
      </c>
      <c r="N10" s="2">
        <f>IF(VLOOKUP($B10,'Indicator Data (national)'!$B$5:$AS$14,44,FALSE)="No data","x",IF(VLOOKUP($B10,'Indicator Data (national)'!$B$5:$AS$14,44,FALSE)&gt;N$150,10,IF(VLOOKUP($B10,'Indicator Data (national)'!$B$5:$AS$14,44,FALSE)&lt;N$149,0,10-(N$150-VLOOKUP($B10,'Indicator Data (national)'!$B$5:$AS$14,44,FALSE))/(N$150-N$149)*10)))</f>
        <v>5.3444444444444441</v>
      </c>
      <c r="O10" s="2">
        <f>IF(VLOOKUP($B10,'Indicator Data (national)'!$B$5:$AS$14,42,FALSE)="No data","x",IF(VLOOKUP($B10,'Indicator Data (national)'!$B$5:$AS$14,42,FALSE)&gt;O$150,0,IF(VLOOKUP($B10,'Indicator Data (national)'!$B$5:$AS$14,42,FALSE)&lt;O$149,10,(O$150-VLOOKUP($B10,'Indicator Data (national)'!$B$5:$AS$14,42,FALSE))/(O$150-O$149)*10)))</f>
        <v>7.1140939597315436</v>
      </c>
      <c r="P10" s="158">
        <f t="shared" si="8"/>
        <v>6.2292692020879938</v>
      </c>
      <c r="Q10" s="2" t="str">
        <f>IF(VLOOKUP($B10,'Indicator Data (national)'!$B$5:$Q$14,16,FALSE)="No data","x",IF(VLOOKUP($B10,'Indicator Data (national)'!$B$5:$Q$14,16,FALSE)&gt;Q$150,0,IF(VLOOKUP($B10,'Indicator Data (national)'!$B$5:$Q$14,16,FALSE)&lt;Q$149,10,(Q$150-VLOOKUP($B10,'Indicator Data (national)'!$B$5:$Q$14,16,FALSE))/(Q$150-Q$149)*10)))</f>
        <v>x</v>
      </c>
      <c r="R10" s="158" t="str">
        <f t="shared" si="9"/>
        <v>x</v>
      </c>
      <c r="S10" s="3">
        <f t="shared" si="0"/>
        <v>6.2292692020879938</v>
      </c>
      <c r="T10" s="2" t="str">
        <f>IF(VLOOKUP($B10,'Indicator Data (national)'!$B$5:$BC$14,43,FALSE)="No data","x",IF(VLOOKUP($B10,'Indicator Data (national)'!$B$5:$BC$14,43,FALSE)&gt;T$150,10,IF(VLOOKUP($B10,'Indicator Data (national)'!$B$5:$BC$14,43,FALSE)&lt;T$149,0,(T$150-VLOOKUP($B10,'Indicator Data (national)'!$B$5:$BC$14,43,FALSE))/(T$150-T$149)*10)))</f>
        <v>x</v>
      </c>
      <c r="U10" s="3" t="str">
        <f t="shared" si="10"/>
        <v>x</v>
      </c>
      <c r="V10" s="5">
        <f t="shared" si="1"/>
        <v>7.425569899451915</v>
      </c>
      <c r="W10" s="2">
        <f>IF(VLOOKUP($B10,'Indicator Data (national)'!$B$5:$AS$14,37,FALSE)="No data","x",IF(VLOOKUP($B10,'Indicator Data (national)'!$B$5:$AS$14,37,FALSE)&gt;W$150,10,IF(VLOOKUP($B10,'Indicator Data (national)'!$B$5:$AS$14,37,FALSE)&lt;W$149,0,(LOG(W$150)-LOG(VLOOKUP($B10,'Indicator Data (national)'!$B$5:$AS$14,37,FALSE)))/(LOG(W$150)-LOG(W$149))*10)))</f>
        <v>9.6403370343401456</v>
      </c>
      <c r="X10" s="2">
        <f>IF(VLOOKUP($B10,'Indicator Data (national)'!$B$5:$BB$14,45,FALSE)="No data","x",IF(VLOOKUP($B10,'Indicator Data (national)'!$B$5:$BB$14,45,FALSE)&gt;X$150,10,IF(VLOOKUP($B10,'Indicator Data (national)'!$B$5:$BB$14,45,FALSE)&lt;X$149,0,10-(X$150-VLOOKUP($B10,'Indicator Data (national)'!$B$5:$BB$14,45,FALSE))/(X$150-X$149)*10)))</f>
        <v>2.8888888888888884</v>
      </c>
      <c r="Y10" s="2">
        <f>IF(VLOOKUP($B10,'Indicator Data (national)'!$B$5:$BB$14,46,FALSE)="No data","x",IF(VLOOKUP($B10,'Indicator Data (national)'!$B$5:$BB$14,46,FALSE)&gt;Y$150,10,IF(VLOOKUP($B10,'Indicator Data (national)'!$B$5:$BB$14,46,FALSE)&lt;Y$149,0,(Y$150-VLOOKUP($B10,'Indicator Data (national)'!$B$5:$BB$14,46,FALSE))/(Y$150-Y$149)*10)))</f>
        <v>3</v>
      </c>
      <c r="Z10" s="156">
        <f>IF(VLOOKUP($B10,'Indicator Data (national)'!$B$5:$BB$14,48,FALSE)="No data","x",VLOOKUP($B10,'Indicator Data (national)'!$B$5:$BB$14,47,FALSE)*VLOOKUP($B10,'Indicator Data (national)'!$B$5:$BB$14,48,FALSE))</f>
        <v>6.7502679667710721</v>
      </c>
      <c r="AA10" s="2">
        <f t="shared" si="11"/>
        <v>9.3249732033228927</v>
      </c>
      <c r="AB10" s="3">
        <f t="shared" si="12"/>
        <v>6.2135497816379814</v>
      </c>
      <c r="AC10" s="2">
        <f>IF(VLOOKUP($B10,'Indicator Data (national)'!$B$5:$BB$14,49,FALSE)="No data","x",IF(VLOOKUP($B10,'Indicator Data (national)'!$B$5:$BB$14,49,FALSE)&gt;AC$150,0,IF(VLOOKUP($B10,'Indicator Data (national)'!$B$5:$BB$14,49,FALSE)&lt;AC$149,10,(AC$150-VLOOKUP($B10,'Indicator Data (national)'!$B$5:$BB$14,49,FALSE))/(AC$150-AC$149)*10)))</f>
        <v>9.9760000000000009</v>
      </c>
      <c r="AD10" s="2">
        <f>IF(VLOOKUP($B10,'Indicator Data (national)'!$B$5:$BB$14,50,FALSE)="No data","x",IF(VLOOKUP($B10,'Indicator Data (national)'!$B$5:$BB$14,50,FALSE)&gt;AD$150,0,IF(VLOOKUP($B10,'Indicator Data (national)'!$B$5:$BB$14,50,FALSE)&lt;AD$149,10,(AD$150-VLOOKUP($B10,'Indicator Data (national)'!$B$5:$BB$14,50,FALSE))/(AD$150-AD$149)*10)))</f>
        <v>9.9932000000000016</v>
      </c>
      <c r="AE10" s="3">
        <f t="shared" si="13"/>
        <v>9.9846000000000004</v>
      </c>
      <c r="AF10" s="2">
        <f>IF(VLOOKUP($B10,'Indicator Data (national)'!$B$5:$BB$14,51,FALSE)="No data","x",IF(VLOOKUP($B10,'Indicator Data (national)'!$B$5:$BB$14,51,FALSE)&gt;AF$150,0,IF(VLOOKUP($B10,'Indicator Data (national)'!$B$5:$BB$14,51,FALSE)&lt;AF$149,10,(AF$150-VLOOKUP($B10,'Indicator Data (national)'!$B$5:$BB$14,51,FALSE))/(AF$150-AF$149)*10)))</f>
        <v>6.2115135335653671</v>
      </c>
      <c r="AG10" s="2">
        <f>IF(VLOOKUP($B10,'Indicator Data (national)'!$B$5:$BB$14,52,FALSE)="No data","x",IF(VLOOKUP($B10,'Indicator Data (national)'!$B$5:$BB$14,52,FALSE)&gt;AG$150,0,IF(VLOOKUP($B10,'Indicator Data (national)'!$B$5:$BB$14,52,FALSE)&lt;AG$149,10,(AG$150-VLOOKUP($B10,'Indicator Data (national)'!$B$5:$BB$14,52,FALSE))/(AG$150-AG$149)*10)))</f>
        <v>9.0606648000000014</v>
      </c>
      <c r="AH10" s="2">
        <f>IF(VLOOKUP($B10,'Indicator Data (national)'!$B$5:$BB$14,53,FALSE)="No data","x",IF(VLOOKUP($B10,'Indicator Data (national)'!$B$5:$BB$14,53,FALSE)&gt;AH$150,0,IF(VLOOKUP($B10,'Indicator Data (national)'!$B$5:$BB$14,53,FALSE)&lt;AH$149,10,(AH$150-VLOOKUP($B10,'Indicator Data (national)'!$B$5:$BB$14,53,FALSE))/(AH$150-AH$149)*10)))</f>
        <v>6.4163309694955863</v>
      </c>
      <c r="AI10" s="3">
        <f t="shared" si="14"/>
        <v>7.2295031010203177</v>
      </c>
      <c r="AJ10" s="5">
        <f t="shared" si="2"/>
        <v>7.8092176275527656</v>
      </c>
    </row>
    <row r="11" spans="1:50" s="11" customFormat="1" x14ac:dyDescent="0.25">
      <c r="A11" s="16" t="s">
        <v>344</v>
      </c>
      <c r="B11" s="126" t="s">
        <v>572</v>
      </c>
      <c r="C11" s="16" t="s">
        <v>345</v>
      </c>
      <c r="D11" s="120">
        <f>(VLOOKUP($B11,'Indicator Data (national)'!$B$5:$AP$14,39,FALSE)+VLOOKUP($B11,'Indicator Data (national)'!$B$5:$AP$14,40,FALSE)+VLOOKUP($B11,'Indicator Data (national)'!$B$5:$AP$14,41,FALSE))/VLOOKUP($B11,'Indicator Data (national)'!$B$5:$AP$14,38,FALSE)*1000000</f>
        <v>1.2851128045648466</v>
      </c>
      <c r="E11" s="2">
        <f t="shared" si="3"/>
        <v>3.5744359771757672</v>
      </c>
      <c r="F11" s="3">
        <f t="shared" si="4"/>
        <v>3.5744359771757672</v>
      </c>
      <c r="G11" s="2">
        <f>IF(VLOOKUP($B11,'Indicator Data (national)'!$B$5:$AQ$14,30,FALSE)="No data","x",IF(VLOOKUP($B11,'Indicator Data (national)'!$B$5:$AQ$14,30,FALSE)&gt;G$150,10,IF(VLOOKUP($B11,'Indicator Data (national)'!$B$5:$AQ$14,30,FALSE)&lt;G$149,0,(G$150-VLOOKUP($B11,'Indicator Data (national)'!$B$5:$AQ$14,30,FALSE))/(G$150-G$149)*10)))</f>
        <v>8</v>
      </c>
      <c r="H11" s="2">
        <f>IF(VLOOKUP($B11,'Indicator Data (national)'!$B$5:$AQ$14,29,FALSE)="No data","x",IF(VLOOKUP($B11,'Indicator Data (national)'!$B$5:$AQ$14,29,FALSE)&gt;H$150,10,IF(VLOOKUP($B11,'Indicator Data (national)'!$B$5:$AQ$14,29,FALSE)&lt;H$149,0,(H$150-VLOOKUP($B11,'Indicator Data (national)'!$B$5:$AQ$14,29,FALSE))/(H$150-H$149)*10)))</f>
        <v>7.1496026515960693</v>
      </c>
      <c r="I11" s="3">
        <f t="shared" si="5"/>
        <v>7.5748013257980347</v>
      </c>
      <c r="J11" s="5">
        <f t="shared" si="6"/>
        <v>5.5746186514869009</v>
      </c>
      <c r="K11" s="2">
        <f>IF(VLOOKUP($B11,'Indicator Data (national)'!$B$5:$AQ$14,33,FALSE)="No data","x",IF(VLOOKUP($B11,'Indicator Data (national)'!$B$5:$AQ$14,33,FALSE)&gt;K$150,10,IF(VLOOKUP($B11,'Indicator Data (national)'!$B$5:$AQ$14,33,FALSE)&lt;K$149,0,(K$150-VLOOKUP($B11,'Indicator Data (national)'!$B$5:$AQ$14,33,FALSE))/(K$150-K$149)*10)))</f>
        <v>9.74</v>
      </c>
      <c r="L11" s="2">
        <f>IF(VLOOKUP($B11,'Indicator Data (national)'!$B$5:$AQ$14,34,FALSE)="No data","x",IF(VLOOKUP($B11,'Indicator Data (national)'!$B$5:$AQ$14,34,FALSE)&gt;L$150,10,IF(VLOOKUP($B11,'Indicator Data (national)'!$B$5:$AQ$14,34,FALSE)&lt;L$149,0,(L$150-VLOOKUP($B11,'Indicator Data (national)'!$B$5:$AQ$14,34,FALSE))/(L$150-L$149)*10)))</f>
        <v>7.5037411936316705</v>
      </c>
      <c r="M11" s="3">
        <f t="shared" si="7"/>
        <v>8.6218705968158353</v>
      </c>
      <c r="N11" s="2">
        <f>IF(VLOOKUP($B11,'Indicator Data (national)'!$B$5:$AS$14,44,FALSE)="No data","x",IF(VLOOKUP($B11,'Indicator Data (national)'!$B$5:$AS$14,44,FALSE)&gt;N$150,10,IF(VLOOKUP($B11,'Indicator Data (national)'!$B$5:$AS$14,44,FALSE)&lt;N$149,0,10-(N$150-VLOOKUP($B11,'Indicator Data (national)'!$B$5:$AS$14,44,FALSE))/(N$150-N$149)*10)))</f>
        <v>5.3444444444444441</v>
      </c>
      <c r="O11" s="2">
        <f>IF(VLOOKUP($B11,'Indicator Data (national)'!$B$5:$AS$14,42,FALSE)="No data","x",IF(VLOOKUP($B11,'Indicator Data (national)'!$B$5:$AS$14,42,FALSE)&gt;O$150,0,IF(VLOOKUP($B11,'Indicator Data (national)'!$B$5:$AS$14,42,FALSE)&lt;O$149,10,(O$150-VLOOKUP($B11,'Indicator Data (national)'!$B$5:$AS$14,42,FALSE))/(O$150-O$149)*10)))</f>
        <v>7.1140939597315436</v>
      </c>
      <c r="P11" s="158">
        <f t="shared" si="8"/>
        <v>6.2292692020879938</v>
      </c>
      <c r="Q11" s="2" t="str">
        <f>IF(VLOOKUP($B11,'Indicator Data (national)'!$B$5:$Q$14,16,FALSE)="No data","x",IF(VLOOKUP($B11,'Indicator Data (national)'!$B$5:$Q$14,16,FALSE)&gt;Q$150,0,IF(VLOOKUP($B11,'Indicator Data (national)'!$B$5:$Q$14,16,FALSE)&lt;Q$149,10,(Q$150-VLOOKUP($B11,'Indicator Data (national)'!$B$5:$Q$14,16,FALSE))/(Q$150-Q$149)*10)))</f>
        <v>x</v>
      </c>
      <c r="R11" s="158" t="str">
        <f t="shared" si="9"/>
        <v>x</v>
      </c>
      <c r="S11" s="3">
        <f t="shared" si="0"/>
        <v>6.2292692020879938</v>
      </c>
      <c r="T11" s="2" t="str">
        <f>IF(VLOOKUP($B11,'Indicator Data (national)'!$B$5:$BC$14,43,FALSE)="No data","x",IF(VLOOKUP($B11,'Indicator Data (national)'!$B$5:$BC$14,43,FALSE)&gt;T$150,10,IF(VLOOKUP($B11,'Indicator Data (national)'!$B$5:$BC$14,43,FALSE)&lt;T$149,0,(T$150-VLOOKUP($B11,'Indicator Data (national)'!$B$5:$BC$14,43,FALSE))/(T$150-T$149)*10)))</f>
        <v>x</v>
      </c>
      <c r="U11" s="3" t="str">
        <f t="shared" si="10"/>
        <v>x</v>
      </c>
      <c r="V11" s="5">
        <f t="shared" si="1"/>
        <v>7.425569899451915</v>
      </c>
      <c r="W11" s="2">
        <f>IF(VLOOKUP($B11,'Indicator Data (national)'!$B$5:$AS$14,37,FALSE)="No data","x",IF(VLOOKUP($B11,'Indicator Data (national)'!$B$5:$AS$14,37,FALSE)&gt;W$150,10,IF(VLOOKUP($B11,'Indicator Data (national)'!$B$5:$AS$14,37,FALSE)&lt;W$149,0,(LOG(W$150)-LOG(VLOOKUP($B11,'Indicator Data (national)'!$B$5:$AS$14,37,FALSE)))/(LOG(W$150)-LOG(W$149))*10)))</f>
        <v>9.6403370343401456</v>
      </c>
      <c r="X11" s="2">
        <f>IF(VLOOKUP($B11,'Indicator Data (national)'!$B$5:$BB$14,45,FALSE)="No data","x",IF(VLOOKUP($B11,'Indicator Data (national)'!$B$5:$BB$14,45,FALSE)&gt;X$150,10,IF(VLOOKUP($B11,'Indicator Data (national)'!$B$5:$BB$14,45,FALSE)&lt;X$149,0,10-(X$150-VLOOKUP($B11,'Indicator Data (national)'!$B$5:$BB$14,45,FALSE))/(X$150-X$149)*10)))</f>
        <v>2.8888888888888884</v>
      </c>
      <c r="Y11" s="2">
        <f>IF(VLOOKUP($B11,'Indicator Data (national)'!$B$5:$BB$14,46,FALSE)="No data","x",IF(VLOOKUP($B11,'Indicator Data (national)'!$B$5:$BB$14,46,FALSE)&gt;Y$150,10,IF(VLOOKUP($B11,'Indicator Data (national)'!$B$5:$BB$14,46,FALSE)&lt;Y$149,0,(Y$150-VLOOKUP($B11,'Indicator Data (national)'!$B$5:$BB$14,46,FALSE))/(Y$150-Y$149)*10)))</f>
        <v>3</v>
      </c>
      <c r="Z11" s="156">
        <f>IF(VLOOKUP($B11,'Indicator Data (national)'!$B$5:$BB$14,48,FALSE)="No data","x",VLOOKUP($B11,'Indicator Data (national)'!$B$5:$BB$14,47,FALSE)*VLOOKUP($B11,'Indicator Data (national)'!$B$5:$BB$14,48,FALSE))</f>
        <v>6.7502679667710721</v>
      </c>
      <c r="AA11" s="2">
        <f t="shared" si="11"/>
        <v>9.3249732033228927</v>
      </c>
      <c r="AB11" s="3">
        <f t="shared" si="12"/>
        <v>6.2135497816379814</v>
      </c>
      <c r="AC11" s="2">
        <f>IF(VLOOKUP($B11,'Indicator Data (national)'!$B$5:$BB$14,49,FALSE)="No data","x",IF(VLOOKUP($B11,'Indicator Data (national)'!$B$5:$BB$14,49,FALSE)&gt;AC$150,0,IF(VLOOKUP($B11,'Indicator Data (national)'!$B$5:$BB$14,49,FALSE)&lt;AC$149,10,(AC$150-VLOOKUP($B11,'Indicator Data (national)'!$B$5:$BB$14,49,FALSE))/(AC$150-AC$149)*10)))</f>
        <v>9.9760000000000009</v>
      </c>
      <c r="AD11" s="2">
        <f>IF(VLOOKUP($B11,'Indicator Data (national)'!$B$5:$BB$14,50,FALSE)="No data","x",IF(VLOOKUP($B11,'Indicator Data (national)'!$B$5:$BB$14,50,FALSE)&gt;AD$150,0,IF(VLOOKUP($B11,'Indicator Data (national)'!$B$5:$BB$14,50,FALSE)&lt;AD$149,10,(AD$150-VLOOKUP($B11,'Indicator Data (national)'!$B$5:$BB$14,50,FALSE))/(AD$150-AD$149)*10)))</f>
        <v>9.9932000000000016</v>
      </c>
      <c r="AE11" s="3">
        <f t="shared" si="13"/>
        <v>9.9846000000000004</v>
      </c>
      <c r="AF11" s="2">
        <f>IF(VLOOKUP($B11,'Indicator Data (national)'!$B$5:$BB$14,51,FALSE)="No data","x",IF(VLOOKUP($B11,'Indicator Data (national)'!$B$5:$BB$14,51,FALSE)&gt;AF$150,0,IF(VLOOKUP($B11,'Indicator Data (national)'!$B$5:$BB$14,51,FALSE)&lt;AF$149,10,(AF$150-VLOOKUP($B11,'Indicator Data (national)'!$B$5:$BB$14,51,FALSE))/(AF$150-AF$149)*10)))</f>
        <v>6.2115135335653671</v>
      </c>
      <c r="AG11" s="2">
        <f>IF(VLOOKUP($B11,'Indicator Data (national)'!$B$5:$BB$14,52,FALSE)="No data","x",IF(VLOOKUP($B11,'Indicator Data (national)'!$B$5:$BB$14,52,FALSE)&gt;AG$150,0,IF(VLOOKUP($B11,'Indicator Data (national)'!$B$5:$BB$14,52,FALSE)&lt;AG$149,10,(AG$150-VLOOKUP($B11,'Indicator Data (national)'!$B$5:$BB$14,52,FALSE))/(AG$150-AG$149)*10)))</f>
        <v>9.0606648000000014</v>
      </c>
      <c r="AH11" s="2">
        <f>IF(VLOOKUP($B11,'Indicator Data (national)'!$B$5:$BB$14,53,FALSE)="No data","x",IF(VLOOKUP($B11,'Indicator Data (national)'!$B$5:$BB$14,53,FALSE)&gt;AH$150,0,IF(VLOOKUP($B11,'Indicator Data (national)'!$B$5:$BB$14,53,FALSE)&lt;AH$149,10,(AH$150-VLOOKUP($B11,'Indicator Data (national)'!$B$5:$BB$14,53,FALSE))/(AH$150-AH$149)*10)))</f>
        <v>6.4163309694955863</v>
      </c>
      <c r="AI11" s="3">
        <f t="shared" si="14"/>
        <v>7.2295031010203177</v>
      </c>
      <c r="AJ11" s="5">
        <f t="shared" si="2"/>
        <v>7.8092176275527656</v>
      </c>
    </row>
    <row r="12" spans="1:50" s="11" customFormat="1" x14ac:dyDescent="0.25">
      <c r="A12" s="16" t="s">
        <v>346</v>
      </c>
      <c r="B12" s="126" t="s">
        <v>572</v>
      </c>
      <c r="C12" s="16" t="s">
        <v>347</v>
      </c>
      <c r="D12" s="120">
        <f>(VLOOKUP($B12,'Indicator Data (national)'!$B$5:$AP$14,39,FALSE)+VLOOKUP($B12,'Indicator Data (national)'!$B$5:$AP$14,40,FALSE)+VLOOKUP($B12,'Indicator Data (national)'!$B$5:$AP$14,41,FALSE))/VLOOKUP($B12,'Indicator Data (national)'!$B$5:$AP$14,38,FALSE)*1000000</f>
        <v>1.2851128045648466</v>
      </c>
      <c r="E12" s="2">
        <f t="shared" si="3"/>
        <v>3.5744359771757672</v>
      </c>
      <c r="F12" s="3">
        <f t="shared" si="4"/>
        <v>3.5744359771757672</v>
      </c>
      <c r="G12" s="2">
        <f>IF(VLOOKUP($B12,'Indicator Data (national)'!$B$5:$AQ$14,30,FALSE)="No data","x",IF(VLOOKUP($B12,'Indicator Data (national)'!$B$5:$AQ$14,30,FALSE)&gt;G$150,10,IF(VLOOKUP($B12,'Indicator Data (national)'!$B$5:$AQ$14,30,FALSE)&lt;G$149,0,(G$150-VLOOKUP($B12,'Indicator Data (national)'!$B$5:$AQ$14,30,FALSE))/(G$150-G$149)*10)))</f>
        <v>8</v>
      </c>
      <c r="H12" s="2">
        <f>IF(VLOOKUP($B12,'Indicator Data (national)'!$B$5:$AQ$14,29,FALSE)="No data","x",IF(VLOOKUP($B12,'Indicator Data (national)'!$B$5:$AQ$14,29,FALSE)&gt;H$150,10,IF(VLOOKUP($B12,'Indicator Data (national)'!$B$5:$AQ$14,29,FALSE)&lt;H$149,0,(H$150-VLOOKUP($B12,'Indicator Data (national)'!$B$5:$AQ$14,29,FALSE))/(H$150-H$149)*10)))</f>
        <v>7.1496026515960693</v>
      </c>
      <c r="I12" s="3">
        <f t="shared" si="5"/>
        <v>7.5748013257980347</v>
      </c>
      <c r="J12" s="5">
        <f t="shared" si="6"/>
        <v>5.5746186514869009</v>
      </c>
      <c r="K12" s="2">
        <f>IF(VLOOKUP($B12,'Indicator Data (national)'!$B$5:$AQ$14,33,FALSE)="No data","x",IF(VLOOKUP($B12,'Indicator Data (national)'!$B$5:$AQ$14,33,FALSE)&gt;K$150,10,IF(VLOOKUP($B12,'Indicator Data (national)'!$B$5:$AQ$14,33,FALSE)&lt;K$149,0,(K$150-VLOOKUP($B12,'Indicator Data (national)'!$B$5:$AQ$14,33,FALSE))/(K$150-K$149)*10)))</f>
        <v>9.74</v>
      </c>
      <c r="L12" s="2">
        <f>IF(VLOOKUP($B12,'Indicator Data (national)'!$B$5:$AQ$14,34,FALSE)="No data","x",IF(VLOOKUP($B12,'Indicator Data (national)'!$B$5:$AQ$14,34,FALSE)&gt;L$150,10,IF(VLOOKUP($B12,'Indicator Data (national)'!$B$5:$AQ$14,34,FALSE)&lt;L$149,0,(L$150-VLOOKUP($B12,'Indicator Data (national)'!$B$5:$AQ$14,34,FALSE))/(L$150-L$149)*10)))</f>
        <v>7.5037411936316705</v>
      </c>
      <c r="M12" s="3">
        <f t="shared" si="7"/>
        <v>8.6218705968158353</v>
      </c>
      <c r="N12" s="2">
        <f>IF(VLOOKUP($B12,'Indicator Data (national)'!$B$5:$AS$14,44,FALSE)="No data","x",IF(VLOOKUP($B12,'Indicator Data (national)'!$B$5:$AS$14,44,FALSE)&gt;N$150,10,IF(VLOOKUP($B12,'Indicator Data (national)'!$B$5:$AS$14,44,FALSE)&lt;N$149,0,10-(N$150-VLOOKUP($B12,'Indicator Data (national)'!$B$5:$AS$14,44,FALSE))/(N$150-N$149)*10)))</f>
        <v>5.3444444444444441</v>
      </c>
      <c r="O12" s="2">
        <f>IF(VLOOKUP($B12,'Indicator Data (national)'!$B$5:$AS$14,42,FALSE)="No data","x",IF(VLOOKUP($B12,'Indicator Data (national)'!$B$5:$AS$14,42,FALSE)&gt;O$150,0,IF(VLOOKUP($B12,'Indicator Data (national)'!$B$5:$AS$14,42,FALSE)&lt;O$149,10,(O$150-VLOOKUP($B12,'Indicator Data (national)'!$B$5:$AS$14,42,FALSE))/(O$150-O$149)*10)))</f>
        <v>7.1140939597315436</v>
      </c>
      <c r="P12" s="158">
        <f t="shared" si="8"/>
        <v>6.2292692020879938</v>
      </c>
      <c r="Q12" s="2" t="str">
        <f>IF(VLOOKUP($B12,'Indicator Data (national)'!$B$5:$Q$14,16,FALSE)="No data","x",IF(VLOOKUP($B12,'Indicator Data (national)'!$B$5:$Q$14,16,FALSE)&gt;Q$150,0,IF(VLOOKUP($B12,'Indicator Data (national)'!$B$5:$Q$14,16,FALSE)&lt;Q$149,10,(Q$150-VLOOKUP($B12,'Indicator Data (national)'!$B$5:$Q$14,16,FALSE))/(Q$150-Q$149)*10)))</f>
        <v>x</v>
      </c>
      <c r="R12" s="158" t="str">
        <f t="shared" si="9"/>
        <v>x</v>
      </c>
      <c r="S12" s="3">
        <f t="shared" si="0"/>
        <v>6.2292692020879938</v>
      </c>
      <c r="T12" s="2" t="str">
        <f>IF(VLOOKUP($B12,'Indicator Data (national)'!$B$5:$BC$14,43,FALSE)="No data","x",IF(VLOOKUP($B12,'Indicator Data (national)'!$B$5:$BC$14,43,FALSE)&gt;T$150,10,IF(VLOOKUP($B12,'Indicator Data (national)'!$B$5:$BC$14,43,FALSE)&lt;T$149,0,(T$150-VLOOKUP($B12,'Indicator Data (national)'!$B$5:$BC$14,43,FALSE))/(T$150-T$149)*10)))</f>
        <v>x</v>
      </c>
      <c r="U12" s="3" t="str">
        <f t="shared" si="10"/>
        <v>x</v>
      </c>
      <c r="V12" s="5">
        <f t="shared" si="1"/>
        <v>7.425569899451915</v>
      </c>
      <c r="W12" s="2">
        <f>IF(VLOOKUP($B12,'Indicator Data (national)'!$B$5:$AS$14,37,FALSE)="No data","x",IF(VLOOKUP($B12,'Indicator Data (national)'!$B$5:$AS$14,37,FALSE)&gt;W$150,10,IF(VLOOKUP($B12,'Indicator Data (national)'!$B$5:$AS$14,37,FALSE)&lt;W$149,0,(LOG(W$150)-LOG(VLOOKUP($B12,'Indicator Data (national)'!$B$5:$AS$14,37,FALSE)))/(LOG(W$150)-LOG(W$149))*10)))</f>
        <v>9.6403370343401456</v>
      </c>
      <c r="X12" s="2">
        <f>IF(VLOOKUP($B12,'Indicator Data (national)'!$B$5:$BB$14,45,FALSE)="No data","x",IF(VLOOKUP($B12,'Indicator Data (national)'!$B$5:$BB$14,45,FALSE)&gt;X$150,10,IF(VLOOKUP($B12,'Indicator Data (national)'!$B$5:$BB$14,45,FALSE)&lt;X$149,0,10-(X$150-VLOOKUP($B12,'Indicator Data (national)'!$B$5:$BB$14,45,FALSE))/(X$150-X$149)*10)))</f>
        <v>2.8888888888888884</v>
      </c>
      <c r="Y12" s="2">
        <f>IF(VLOOKUP($B12,'Indicator Data (national)'!$B$5:$BB$14,46,FALSE)="No data","x",IF(VLOOKUP($B12,'Indicator Data (national)'!$B$5:$BB$14,46,FALSE)&gt;Y$150,10,IF(VLOOKUP($B12,'Indicator Data (national)'!$B$5:$BB$14,46,FALSE)&lt;Y$149,0,(Y$150-VLOOKUP($B12,'Indicator Data (national)'!$B$5:$BB$14,46,FALSE))/(Y$150-Y$149)*10)))</f>
        <v>3</v>
      </c>
      <c r="Z12" s="156">
        <f>IF(VLOOKUP($B12,'Indicator Data (national)'!$B$5:$BB$14,48,FALSE)="No data","x",VLOOKUP($B12,'Indicator Data (national)'!$B$5:$BB$14,47,FALSE)*VLOOKUP($B12,'Indicator Data (national)'!$B$5:$BB$14,48,FALSE))</f>
        <v>6.7502679667710721</v>
      </c>
      <c r="AA12" s="2">
        <f t="shared" si="11"/>
        <v>9.3249732033228927</v>
      </c>
      <c r="AB12" s="3">
        <f t="shared" si="12"/>
        <v>6.2135497816379814</v>
      </c>
      <c r="AC12" s="2">
        <f>IF(VLOOKUP($B12,'Indicator Data (national)'!$B$5:$BB$14,49,FALSE)="No data","x",IF(VLOOKUP($B12,'Indicator Data (national)'!$B$5:$BB$14,49,FALSE)&gt;AC$150,0,IF(VLOOKUP($B12,'Indicator Data (national)'!$B$5:$BB$14,49,FALSE)&lt;AC$149,10,(AC$150-VLOOKUP($B12,'Indicator Data (national)'!$B$5:$BB$14,49,FALSE))/(AC$150-AC$149)*10)))</f>
        <v>9.9760000000000009</v>
      </c>
      <c r="AD12" s="2">
        <f>IF(VLOOKUP($B12,'Indicator Data (national)'!$B$5:$BB$14,50,FALSE)="No data","x",IF(VLOOKUP($B12,'Indicator Data (national)'!$B$5:$BB$14,50,FALSE)&gt;AD$150,0,IF(VLOOKUP($B12,'Indicator Data (national)'!$B$5:$BB$14,50,FALSE)&lt;AD$149,10,(AD$150-VLOOKUP($B12,'Indicator Data (national)'!$B$5:$BB$14,50,FALSE))/(AD$150-AD$149)*10)))</f>
        <v>9.9932000000000016</v>
      </c>
      <c r="AE12" s="3">
        <f t="shared" si="13"/>
        <v>9.9846000000000004</v>
      </c>
      <c r="AF12" s="2">
        <f>IF(VLOOKUP($B12,'Indicator Data (national)'!$B$5:$BB$14,51,FALSE)="No data","x",IF(VLOOKUP($B12,'Indicator Data (national)'!$B$5:$BB$14,51,FALSE)&gt;AF$150,0,IF(VLOOKUP($B12,'Indicator Data (national)'!$B$5:$BB$14,51,FALSE)&lt;AF$149,10,(AF$150-VLOOKUP($B12,'Indicator Data (national)'!$B$5:$BB$14,51,FALSE))/(AF$150-AF$149)*10)))</f>
        <v>6.2115135335653671</v>
      </c>
      <c r="AG12" s="2">
        <f>IF(VLOOKUP($B12,'Indicator Data (national)'!$B$5:$BB$14,52,FALSE)="No data","x",IF(VLOOKUP($B12,'Indicator Data (national)'!$B$5:$BB$14,52,FALSE)&gt;AG$150,0,IF(VLOOKUP($B12,'Indicator Data (national)'!$B$5:$BB$14,52,FALSE)&lt;AG$149,10,(AG$150-VLOOKUP($B12,'Indicator Data (national)'!$B$5:$BB$14,52,FALSE))/(AG$150-AG$149)*10)))</f>
        <v>9.0606648000000014</v>
      </c>
      <c r="AH12" s="2">
        <f>IF(VLOOKUP($B12,'Indicator Data (national)'!$B$5:$BB$14,53,FALSE)="No data","x",IF(VLOOKUP($B12,'Indicator Data (national)'!$B$5:$BB$14,53,FALSE)&gt;AH$150,0,IF(VLOOKUP($B12,'Indicator Data (national)'!$B$5:$BB$14,53,FALSE)&lt;AH$149,10,(AH$150-VLOOKUP($B12,'Indicator Data (national)'!$B$5:$BB$14,53,FALSE))/(AH$150-AH$149)*10)))</f>
        <v>6.4163309694955863</v>
      </c>
      <c r="AI12" s="3">
        <f t="shared" si="14"/>
        <v>7.2295031010203177</v>
      </c>
      <c r="AJ12" s="5">
        <f t="shared" si="2"/>
        <v>7.8092176275527656</v>
      </c>
    </row>
    <row r="13" spans="1:50" s="11" customFormat="1" x14ac:dyDescent="0.25">
      <c r="A13" s="16" t="s">
        <v>348</v>
      </c>
      <c r="B13" s="126" t="s">
        <v>572</v>
      </c>
      <c r="C13" s="16" t="s">
        <v>349</v>
      </c>
      <c r="D13" s="120">
        <f>(VLOOKUP($B13,'Indicator Data (national)'!$B$5:$AP$14,39,FALSE)+VLOOKUP($B13,'Indicator Data (national)'!$B$5:$AP$14,40,FALSE)+VLOOKUP($B13,'Indicator Data (national)'!$B$5:$AP$14,41,FALSE))/VLOOKUP($B13,'Indicator Data (national)'!$B$5:$AP$14,38,FALSE)*1000000</f>
        <v>1.2851128045648466</v>
      </c>
      <c r="E13" s="2">
        <f t="shared" si="3"/>
        <v>3.5744359771757672</v>
      </c>
      <c r="F13" s="3">
        <f t="shared" si="4"/>
        <v>3.5744359771757672</v>
      </c>
      <c r="G13" s="2">
        <f>IF(VLOOKUP($B13,'Indicator Data (national)'!$B$5:$AQ$14,30,FALSE)="No data","x",IF(VLOOKUP($B13,'Indicator Data (national)'!$B$5:$AQ$14,30,FALSE)&gt;G$150,10,IF(VLOOKUP($B13,'Indicator Data (national)'!$B$5:$AQ$14,30,FALSE)&lt;G$149,0,(G$150-VLOOKUP($B13,'Indicator Data (national)'!$B$5:$AQ$14,30,FALSE))/(G$150-G$149)*10)))</f>
        <v>8</v>
      </c>
      <c r="H13" s="2">
        <f>IF(VLOOKUP($B13,'Indicator Data (national)'!$B$5:$AQ$14,29,FALSE)="No data","x",IF(VLOOKUP($B13,'Indicator Data (national)'!$B$5:$AQ$14,29,FALSE)&gt;H$150,10,IF(VLOOKUP($B13,'Indicator Data (national)'!$B$5:$AQ$14,29,FALSE)&lt;H$149,0,(H$150-VLOOKUP($B13,'Indicator Data (national)'!$B$5:$AQ$14,29,FALSE))/(H$150-H$149)*10)))</f>
        <v>7.1496026515960693</v>
      </c>
      <c r="I13" s="3">
        <f t="shared" si="5"/>
        <v>7.5748013257980347</v>
      </c>
      <c r="J13" s="5">
        <f t="shared" si="6"/>
        <v>5.5746186514869009</v>
      </c>
      <c r="K13" s="2">
        <f>IF(VLOOKUP($B13,'Indicator Data (national)'!$B$5:$AQ$14,33,FALSE)="No data","x",IF(VLOOKUP($B13,'Indicator Data (national)'!$B$5:$AQ$14,33,FALSE)&gt;K$150,10,IF(VLOOKUP($B13,'Indicator Data (national)'!$B$5:$AQ$14,33,FALSE)&lt;K$149,0,(K$150-VLOOKUP($B13,'Indicator Data (national)'!$B$5:$AQ$14,33,FALSE))/(K$150-K$149)*10)))</f>
        <v>9.74</v>
      </c>
      <c r="L13" s="2">
        <f>IF(VLOOKUP($B13,'Indicator Data (national)'!$B$5:$AQ$14,34,FALSE)="No data","x",IF(VLOOKUP($B13,'Indicator Data (national)'!$B$5:$AQ$14,34,FALSE)&gt;L$150,10,IF(VLOOKUP($B13,'Indicator Data (national)'!$B$5:$AQ$14,34,FALSE)&lt;L$149,0,(L$150-VLOOKUP($B13,'Indicator Data (national)'!$B$5:$AQ$14,34,FALSE))/(L$150-L$149)*10)))</f>
        <v>7.5037411936316705</v>
      </c>
      <c r="M13" s="3">
        <f t="shared" si="7"/>
        <v>8.6218705968158353</v>
      </c>
      <c r="N13" s="2">
        <f>IF(VLOOKUP($B13,'Indicator Data (national)'!$B$5:$AS$14,44,FALSE)="No data","x",IF(VLOOKUP($B13,'Indicator Data (national)'!$B$5:$AS$14,44,FALSE)&gt;N$150,10,IF(VLOOKUP($B13,'Indicator Data (national)'!$B$5:$AS$14,44,FALSE)&lt;N$149,0,10-(N$150-VLOOKUP($B13,'Indicator Data (national)'!$B$5:$AS$14,44,FALSE))/(N$150-N$149)*10)))</f>
        <v>5.3444444444444441</v>
      </c>
      <c r="O13" s="2">
        <f>IF(VLOOKUP($B13,'Indicator Data (national)'!$B$5:$AS$14,42,FALSE)="No data","x",IF(VLOOKUP($B13,'Indicator Data (national)'!$B$5:$AS$14,42,FALSE)&gt;O$150,0,IF(VLOOKUP($B13,'Indicator Data (national)'!$B$5:$AS$14,42,FALSE)&lt;O$149,10,(O$150-VLOOKUP($B13,'Indicator Data (national)'!$B$5:$AS$14,42,FALSE))/(O$150-O$149)*10)))</f>
        <v>7.1140939597315436</v>
      </c>
      <c r="P13" s="158">
        <f t="shared" si="8"/>
        <v>6.2292692020879938</v>
      </c>
      <c r="Q13" s="2" t="str">
        <f>IF(VLOOKUP($B13,'Indicator Data (national)'!$B$5:$Q$14,16,FALSE)="No data","x",IF(VLOOKUP($B13,'Indicator Data (national)'!$B$5:$Q$14,16,FALSE)&gt;Q$150,0,IF(VLOOKUP($B13,'Indicator Data (national)'!$B$5:$Q$14,16,FALSE)&lt;Q$149,10,(Q$150-VLOOKUP($B13,'Indicator Data (national)'!$B$5:$Q$14,16,FALSE))/(Q$150-Q$149)*10)))</f>
        <v>x</v>
      </c>
      <c r="R13" s="158" t="str">
        <f t="shared" si="9"/>
        <v>x</v>
      </c>
      <c r="S13" s="3">
        <f t="shared" si="0"/>
        <v>6.2292692020879938</v>
      </c>
      <c r="T13" s="2" t="str">
        <f>IF(VLOOKUP($B13,'Indicator Data (national)'!$B$5:$BC$14,43,FALSE)="No data","x",IF(VLOOKUP($B13,'Indicator Data (national)'!$B$5:$BC$14,43,FALSE)&gt;T$150,10,IF(VLOOKUP($B13,'Indicator Data (national)'!$B$5:$BC$14,43,FALSE)&lt;T$149,0,(T$150-VLOOKUP($B13,'Indicator Data (national)'!$B$5:$BC$14,43,FALSE))/(T$150-T$149)*10)))</f>
        <v>x</v>
      </c>
      <c r="U13" s="3" t="str">
        <f t="shared" si="10"/>
        <v>x</v>
      </c>
      <c r="V13" s="5">
        <f t="shared" si="1"/>
        <v>7.425569899451915</v>
      </c>
      <c r="W13" s="2">
        <f>IF(VLOOKUP($B13,'Indicator Data (national)'!$B$5:$AS$14,37,FALSE)="No data","x",IF(VLOOKUP($B13,'Indicator Data (national)'!$B$5:$AS$14,37,FALSE)&gt;W$150,10,IF(VLOOKUP($B13,'Indicator Data (national)'!$B$5:$AS$14,37,FALSE)&lt;W$149,0,(LOG(W$150)-LOG(VLOOKUP($B13,'Indicator Data (national)'!$B$5:$AS$14,37,FALSE)))/(LOG(W$150)-LOG(W$149))*10)))</f>
        <v>9.6403370343401456</v>
      </c>
      <c r="X13" s="2">
        <f>IF(VLOOKUP($B13,'Indicator Data (national)'!$B$5:$BB$14,45,FALSE)="No data","x",IF(VLOOKUP($B13,'Indicator Data (national)'!$B$5:$BB$14,45,FALSE)&gt;X$150,10,IF(VLOOKUP($B13,'Indicator Data (national)'!$B$5:$BB$14,45,FALSE)&lt;X$149,0,10-(X$150-VLOOKUP($B13,'Indicator Data (national)'!$B$5:$BB$14,45,FALSE))/(X$150-X$149)*10)))</f>
        <v>2.8888888888888884</v>
      </c>
      <c r="Y13" s="2">
        <f>IF(VLOOKUP($B13,'Indicator Data (national)'!$B$5:$BB$14,46,FALSE)="No data","x",IF(VLOOKUP($B13,'Indicator Data (national)'!$B$5:$BB$14,46,FALSE)&gt;Y$150,10,IF(VLOOKUP($B13,'Indicator Data (national)'!$B$5:$BB$14,46,FALSE)&lt;Y$149,0,(Y$150-VLOOKUP($B13,'Indicator Data (national)'!$B$5:$BB$14,46,FALSE))/(Y$150-Y$149)*10)))</f>
        <v>3</v>
      </c>
      <c r="Z13" s="156">
        <f>IF(VLOOKUP($B13,'Indicator Data (national)'!$B$5:$BB$14,48,FALSE)="No data","x",VLOOKUP($B13,'Indicator Data (national)'!$B$5:$BB$14,47,FALSE)*VLOOKUP($B13,'Indicator Data (national)'!$B$5:$BB$14,48,FALSE))</f>
        <v>6.7502679667710721</v>
      </c>
      <c r="AA13" s="2">
        <f t="shared" si="11"/>
        <v>9.3249732033228927</v>
      </c>
      <c r="AB13" s="3">
        <f t="shared" si="12"/>
        <v>6.2135497816379814</v>
      </c>
      <c r="AC13" s="2">
        <f>IF(VLOOKUP($B13,'Indicator Data (national)'!$B$5:$BB$14,49,FALSE)="No data","x",IF(VLOOKUP($B13,'Indicator Data (national)'!$B$5:$BB$14,49,FALSE)&gt;AC$150,0,IF(VLOOKUP($B13,'Indicator Data (national)'!$B$5:$BB$14,49,FALSE)&lt;AC$149,10,(AC$150-VLOOKUP($B13,'Indicator Data (national)'!$B$5:$BB$14,49,FALSE))/(AC$150-AC$149)*10)))</f>
        <v>9.9760000000000009</v>
      </c>
      <c r="AD13" s="2">
        <f>IF(VLOOKUP($B13,'Indicator Data (national)'!$B$5:$BB$14,50,FALSE)="No data","x",IF(VLOOKUP($B13,'Indicator Data (national)'!$B$5:$BB$14,50,FALSE)&gt;AD$150,0,IF(VLOOKUP($B13,'Indicator Data (national)'!$B$5:$BB$14,50,FALSE)&lt;AD$149,10,(AD$150-VLOOKUP($B13,'Indicator Data (national)'!$B$5:$BB$14,50,FALSE))/(AD$150-AD$149)*10)))</f>
        <v>9.9932000000000016</v>
      </c>
      <c r="AE13" s="3">
        <f t="shared" si="13"/>
        <v>9.9846000000000004</v>
      </c>
      <c r="AF13" s="2">
        <f>IF(VLOOKUP($B13,'Indicator Data (national)'!$B$5:$BB$14,51,FALSE)="No data","x",IF(VLOOKUP($B13,'Indicator Data (national)'!$B$5:$BB$14,51,FALSE)&gt;AF$150,0,IF(VLOOKUP($B13,'Indicator Data (national)'!$B$5:$BB$14,51,FALSE)&lt;AF$149,10,(AF$150-VLOOKUP($B13,'Indicator Data (national)'!$B$5:$BB$14,51,FALSE))/(AF$150-AF$149)*10)))</f>
        <v>6.2115135335653671</v>
      </c>
      <c r="AG13" s="2">
        <f>IF(VLOOKUP($B13,'Indicator Data (national)'!$B$5:$BB$14,52,FALSE)="No data","x",IF(VLOOKUP($B13,'Indicator Data (national)'!$B$5:$BB$14,52,FALSE)&gt;AG$150,0,IF(VLOOKUP($B13,'Indicator Data (national)'!$B$5:$BB$14,52,FALSE)&lt;AG$149,10,(AG$150-VLOOKUP($B13,'Indicator Data (national)'!$B$5:$BB$14,52,FALSE))/(AG$150-AG$149)*10)))</f>
        <v>9.0606648000000014</v>
      </c>
      <c r="AH13" s="2">
        <f>IF(VLOOKUP($B13,'Indicator Data (national)'!$B$5:$BB$14,53,FALSE)="No data","x",IF(VLOOKUP($B13,'Indicator Data (national)'!$B$5:$BB$14,53,FALSE)&gt;AH$150,0,IF(VLOOKUP($B13,'Indicator Data (national)'!$B$5:$BB$14,53,FALSE)&lt;AH$149,10,(AH$150-VLOOKUP($B13,'Indicator Data (national)'!$B$5:$BB$14,53,FALSE))/(AH$150-AH$149)*10)))</f>
        <v>6.4163309694955863</v>
      </c>
      <c r="AI13" s="3">
        <f t="shared" si="14"/>
        <v>7.2295031010203177</v>
      </c>
      <c r="AJ13" s="5">
        <f t="shared" si="2"/>
        <v>7.8092176275527656</v>
      </c>
    </row>
    <row r="14" spans="1:50" s="11" customFormat="1" x14ac:dyDescent="0.25">
      <c r="A14" s="16" t="s">
        <v>350</v>
      </c>
      <c r="B14" s="126" t="s">
        <v>572</v>
      </c>
      <c r="C14" s="16" t="s">
        <v>351</v>
      </c>
      <c r="D14" s="120">
        <f>(VLOOKUP($B14,'Indicator Data (national)'!$B$5:$AP$14,39,FALSE)+VLOOKUP($B14,'Indicator Data (national)'!$B$5:$AP$14,40,FALSE)+VLOOKUP($B14,'Indicator Data (national)'!$B$5:$AP$14,41,FALSE))/VLOOKUP($B14,'Indicator Data (national)'!$B$5:$AP$14,38,FALSE)*1000000</f>
        <v>1.2851128045648466</v>
      </c>
      <c r="E14" s="2">
        <f t="shared" si="3"/>
        <v>3.5744359771757672</v>
      </c>
      <c r="F14" s="3">
        <f t="shared" si="4"/>
        <v>3.5744359771757672</v>
      </c>
      <c r="G14" s="2">
        <f>IF(VLOOKUP($B14,'Indicator Data (national)'!$B$5:$AQ$14,30,FALSE)="No data","x",IF(VLOOKUP($B14,'Indicator Data (national)'!$B$5:$AQ$14,30,FALSE)&gt;G$150,10,IF(VLOOKUP($B14,'Indicator Data (national)'!$B$5:$AQ$14,30,FALSE)&lt;G$149,0,(G$150-VLOOKUP($B14,'Indicator Data (national)'!$B$5:$AQ$14,30,FALSE))/(G$150-G$149)*10)))</f>
        <v>8</v>
      </c>
      <c r="H14" s="2">
        <f>IF(VLOOKUP($B14,'Indicator Data (national)'!$B$5:$AQ$14,29,FALSE)="No data","x",IF(VLOOKUP($B14,'Indicator Data (national)'!$B$5:$AQ$14,29,FALSE)&gt;H$150,10,IF(VLOOKUP($B14,'Indicator Data (national)'!$B$5:$AQ$14,29,FALSE)&lt;H$149,0,(H$150-VLOOKUP($B14,'Indicator Data (national)'!$B$5:$AQ$14,29,FALSE))/(H$150-H$149)*10)))</f>
        <v>7.1496026515960693</v>
      </c>
      <c r="I14" s="3">
        <f t="shared" si="5"/>
        <v>7.5748013257980347</v>
      </c>
      <c r="J14" s="5">
        <f t="shared" si="6"/>
        <v>5.5746186514869009</v>
      </c>
      <c r="K14" s="2">
        <f>IF(VLOOKUP($B14,'Indicator Data (national)'!$B$5:$AQ$14,33,FALSE)="No data","x",IF(VLOOKUP($B14,'Indicator Data (national)'!$B$5:$AQ$14,33,FALSE)&gt;K$150,10,IF(VLOOKUP($B14,'Indicator Data (national)'!$B$5:$AQ$14,33,FALSE)&lt;K$149,0,(K$150-VLOOKUP($B14,'Indicator Data (national)'!$B$5:$AQ$14,33,FALSE))/(K$150-K$149)*10)))</f>
        <v>9.74</v>
      </c>
      <c r="L14" s="2">
        <f>IF(VLOOKUP($B14,'Indicator Data (national)'!$B$5:$AQ$14,34,FALSE)="No data","x",IF(VLOOKUP($B14,'Indicator Data (national)'!$B$5:$AQ$14,34,FALSE)&gt;L$150,10,IF(VLOOKUP($B14,'Indicator Data (national)'!$B$5:$AQ$14,34,FALSE)&lt;L$149,0,(L$150-VLOOKUP($B14,'Indicator Data (national)'!$B$5:$AQ$14,34,FALSE))/(L$150-L$149)*10)))</f>
        <v>7.5037411936316705</v>
      </c>
      <c r="M14" s="3">
        <f t="shared" si="7"/>
        <v>8.6218705968158353</v>
      </c>
      <c r="N14" s="2">
        <f>IF(VLOOKUP($B14,'Indicator Data (national)'!$B$5:$AS$14,44,FALSE)="No data","x",IF(VLOOKUP($B14,'Indicator Data (national)'!$B$5:$AS$14,44,FALSE)&gt;N$150,10,IF(VLOOKUP($B14,'Indicator Data (national)'!$B$5:$AS$14,44,FALSE)&lt;N$149,0,10-(N$150-VLOOKUP($B14,'Indicator Data (national)'!$B$5:$AS$14,44,FALSE))/(N$150-N$149)*10)))</f>
        <v>5.3444444444444441</v>
      </c>
      <c r="O14" s="2">
        <f>IF(VLOOKUP($B14,'Indicator Data (national)'!$B$5:$AS$14,42,FALSE)="No data","x",IF(VLOOKUP($B14,'Indicator Data (national)'!$B$5:$AS$14,42,FALSE)&gt;O$150,0,IF(VLOOKUP($B14,'Indicator Data (national)'!$B$5:$AS$14,42,FALSE)&lt;O$149,10,(O$150-VLOOKUP($B14,'Indicator Data (national)'!$B$5:$AS$14,42,FALSE))/(O$150-O$149)*10)))</f>
        <v>7.1140939597315436</v>
      </c>
      <c r="P14" s="158">
        <f t="shared" si="8"/>
        <v>6.2292692020879938</v>
      </c>
      <c r="Q14" s="2" t="str">
        <f>IF(VLOOKUP($B14,'Indicator Data (national)'!$B$5:$Q$14,16,FALSE)="No data","x",IF(VLOOKUP($B14,'Indicator Data (national)'!$B$5:$Q$14,16,FALSE)&gt;Q$150,0,IF(VLOOKUP($B14,'Indicator Data (national)'!$B$5:$Q$14,16,FALSE)&lt;Q$149,10,(Q$150-VLOOKUP($B14,'Indicator Data (national)'!$B$5:$Q$14,16,FALSE))/(Q$150-Q$149)*10)))</f>
        <v>x</v>
      </c>
      <c r="R14" s="158" t="str">
        <f t="shared" si="9"/>
        <v>x</v>
      </c>
      <c r="S14" s="3">
        <f t="shared" si="0"/>
        <v>6.2292692020879938</v>
      </c>
      <c r="T14" s="2" t="str">
        <f>IF(VLOOKUP($B14,'Indicator Data (national)'!$B$5:$BC$14,43,FALSE)="No data","x",IF(VLOOKUP($B14,'Indicator Data (national)'!$B$5:$BC$14,43,FALSE)&gt;T$150,10,IF(VLOOKUP($B14,'Indicator Data (national)'!$B$5:$BC$14,43,FALSE)&lt;T$149,0,(T$150-VLOOKUP($B14,'Indicator Data (national)'!$B$5:$BC$14,43,FALSE))/(T$150-T$149)*10)))</f>
        <v>x</v>
      </c>
      <c r="U14" s="3" t="str">
        <f t="shared" si="10"/>
        <v>x</v>
      </c>
      <c r="V14" s="5">
        <f t="shared" si="1"/>
        <v>7.425569899451915</v>
      </c>
      <c r="W14" s="2">
        <f>IF(VLOOKUP($B14,'Indicator Data (national)'!$B$5:$AS$14,37,FALSE)="No data","x",IF(VLOOKUP($B14,'Indicator Data (national)'!$B$5:$AS$14,37,FALSE)&gt;W$150,10,IF(VLOOKUP($B14,'Indicator Data (national)'!$B$5:$AS$14,37,FALSE)&lt;W$149,0,(LOG(W$150)-LOG(VLOOKUP($B14,'Indicator Data (national)'!$B$5:$AS$14,37,FALSE)))/(LOG(W$150)-LOG(W$149))*10)))</f>
        <v>9.6403370343401456</v>
      </c>
      <c r="X14" s="2">
        <f>IF(VLOOKUP($B14,'Indicator Data (national)'!$B$5:$BB$14,45,FALSE)="No data","x",IF(VLOOKUP($B14,'Indicator Data (national)'!$B$5:$BB$14,45,FALSE)&gt;X$150,10,IF(VLOOKUP($B14,'Indicator Data (national)'!$B$5:$BB$14,45,FALSE)&lt;X$149,0,10-(X$150-VLOOKUP($B14,'Indicator Data (national)'!$B$5:$BB$14,45,FALSE))/(X$150-X$149)*10)))</f>
        <v>2.8888888888888884</v>
      </c>
      <c r="Y14" s="2">
        <f>IF(VLOOKUP($B14,'Indicator Data (national)'!$B$5:$BB$14,46,FALSE)="No data","x",IF(VLOOKUP($B14,'Indicator Data (national)'!$B$5:$BB$14,46,FALSE)&gt;Y$150,10,IF(VLOOKUP($B14,'Indicator Data (national)'!$B$5:$BB$14,46,FALSE)&lt;Y$149,0,(Y$150-VLOOKUP($B14,'Indicator Data (national)'!$B$5:$BB$14,46,FALSE))/(Y$150-Y$149)*10)))</f>
        <v>3</v>
      </c>
      <c r="Z14" s="156">
        <f>IF(VLOOKUP($B14,'Indicator Data (national)'!$B$5:$BB$14,48,FALSE)="No data","x",VLOOKUP($B14,'Indicator Data (national)'!$B$5:$BB$14,47,FALSE)*VLOOKUP($B14,'Indicator Data (national)'!$B$5:$BB$14,48,FALSE))</f>
        <v>6.7502679667710721</v>
      </c>
      <c r="AA14" s="2">
        <f t="shared" si="11"/>
        <v>9.3249732033228927</v>
      </c>
      <c r="AB14" s="3">
        <f t="shared" si="12"/>
        <v>6.2135497816379814</v>
      </c>
      <c r="AC14" s="2">
        <f>IF(VLOOKUP($B14,'Indicator Data (national)'!$B$5:$BB$14,49,FALSE)="No data","x",IF(VLOOKUP($B14,'Indicator Data (national)'!$B$5:$BB$14,49,FALSE)&gt;AC$150,0,IF(VLOOKUP($B14,'Indicator Data (national)'!$B$5:$BB$14,49,FALSE)&lt;AC$149,10,(AC$150-VLOOKUP($B14,'Indicator Data (national)'!$B$5:$BB$14,49,FALSE))/(AC$150-AC$149)*10)))</f>
        <v>9.9760000000000009</v>
      </c>
      <c r="AD14" s="2">
        <f>IF(VLOOKUP($B14,'Indicator Data (national)'!$B$5:$BB$14,50,FALSE)="No data","x",IF(VLOOKUP($B14,'Indicator Data (national)'!$B$5:$BB$14,50,FALSE)&gt;AD$150,0,IF(VLOOKUP($B14,'Indicator Data (national)'!$B$5:$BB$14,50,FALSE)&lt;AD$149,10,(AD$150-VLOOKUP($B14,'Indicator Data (national)'!$B$5:$BB$14,50,FALSE))/(AD$150-AD$149)*10)))</f>
        <v>9.9932000000000016</v>
      </c>
      <c r="AE14" s="3">
        <f t="shared" si="13"/>
        <v>9.9846000000000004</v>
      </c>
      <c r="AF14" s="2">
        <f>IF(VLOOKUP($B14,'Indicator Data (national)'!$B$5:$BB$14,51,FALSE)="No data","x",IF(VLOOKUP($B14,'Indicator Data (national)'!$B$5:$BB$14,51,FALSE)&gt;AF$150,0,IF(VLOOKUP($B14,'Indicator Data (national)'!$B$5:$BB$14,51,FALSE)&lt;AF$149,10,(AF$150-VLOOKUP($B14,'Indicator Data (national)'!$B$5:$BB$14,51,FALSE))/(AF$150-AF$149)*10)))</f>
        <v>6.2115135335653671</v>
      </c>
      <c r="AG14" s="2">
        <f>IF(VLOOKUP($B14,'Indicator Data (national)'!$B$5:$BB$14,52,FALSE)="No data","x",IF(VLOOKUP($B14,'Indicator Data (national)'!$B$5:$BB$14,52,FALSE)&gt;AG$150,0,IF(VLOOKUP($B14,'Indicator Data (national)'!$B$5:$BB$14,52,FALSE)&lt;AG$149,10,(AG$150-VLOOKUP($B14,'Indicator Data (national)'!$B$5:$BB$14,52,FALSE))/(AG$150-AG$149)*10)))</f>
        <v>9.0606648000000014</v>
      </c>
      <c r="AH14" s="2">
        <f>IF(VLOOKUP($B14,'Indicator Data (national)'!$B$5:$BB$14,53,FALSE)="No data","x",IF(VLOOKUP($B14,'Indicator Data (national)'!$B$5:$BB$14,53,FALSE)&gt;AH$150,0,IF(VLOOKUP($B14,'Indicator Data (national)'!$B$5:$BB$14,53,FALSE)&lt;AH$149,10,(AH$150-VLOOKUP($B14,'Indicator Data (national)'!$B$5:$BB$14,53,FALSE))/(AH$150-AH$149)*10)))</f>
        <v>6.4163309694955863</v>
      </c>
      <c r="AI14" s="3">
        <f t="shared" si="14"/>
        <v>7.2295031010203177</v>
      </c>
      <c r="AJ14" s="5">
        <f t="shared" si="2"/>
        <v>7.8092176275527656</v>
      </c>
    </row>
    <row r="15" spans="1:50" s="11" customFormat="1" x14ac:dyDescent="0.25">
      <c r="A15" s="16" t="s">
        <v>352</v>
      </c>
      <c r="B15" s="126" t="s">
        <v>572</v>
      </c>
      <c r="C15" s="16" t="s">
        <v>353</v>
      </c>
      <c r="D15" s="120">
        <f>(VLOOKUP($B15,'Indicator Data (national)'!$B$5:$AP$14,39,FALSE)+VLOOKUP($B15,'Indicator Data (national)'!$B$5:$AP$14,40,FALSE)+VLOOKUP($B15,'Indicator Data (national)'!$B$5:$AP$14,41,FALSE))/VLOOKUP($B15,'Indicator Data (national)'!$B$5:$AP$14,38,FALSE)*1000000</f>
        <v>1.2851128045648466</v>
      </c>
      <c r="E15" s="2">
        <f t="shared" si="3"/>
        <v>3.5744359771757672</v>
      </c>
      <c r="F15" s="3">
        <f t="shared" si="4"/>
        <v>3.5744359771757672</v>
      </c>
      <c r="G15" s="2">
        <f>IF(VLOOKUP($B15,'Indicator Data (national)'!$B$5:$AQ$14,30,FALSE)="No data","x",IF(VLOOKUP($B15,'Indicator Data (national)'!$B$5:$AQ$14,30,FALSE)&gt;G$150,10,IF(VLOOKUP($B15,'Indicator Data (national)'!$B$5:$AQ$14,30,FALSE)&lt;G$149,0,(G$150-VLOOKUP($B15,'Indicator Data (national)'!$B$5:$AQ$14,30,FALSE))/(G$150-G$149)*10)))</f>
        <v>8</v>
      </c>
      <c r="H15" s="2">
        <f>IF(VLOOKUP($B15,'Indicator Data (national)'!$B$5:$AQ$14,29,FALSE)="No data","x",IF(VLOOKUP($B15,'Indicator Data (national)'!$B$5:$AQ$14,29,FALSE)&gt;H$150,10,IF(VLOOKUP($B15,'Indicator Data (national)'!$B$5:$AQ$14,29,FALSE)&lt;H$149,0,(H$150-VLOOKUP($B15,'Indicator Data (national)'!$B$5:$AQ$14,29,FALSE))/(H$150-H$149)*10)))</f>
        <v>7.1496026515960693</v>
      </c>
      <c r="I15" s="3">
        <f t="shared" si="5"/>
        <v>7.5748013257980347</v>
      </c>
      <c r="J15" s="5">
        <f t="shared" si="6"/>
        <v>5.5746186514869009</v>
      </c>
      <c r="K15" s="2">
        <f>IF(VLOOKUP($B15,'Indicator Data (national)'!$B$5:$AQ$14,33,FALSE)="No data","x",IF(VLOOKUP($B15,'Indicator Data (national)'!$B$5:$AQ$14,33,FALSE)&gt;K$150,10,IF(VLOOKUP($B15,'Indicator Data (national)'!$B$5:$AQ$14,33,FALSE)&lt;K$149,0,(K$150-VLOOKUP($B15,'Indicator Data (national)'!$B$5:$AQ$14,33,FALSE))/(K$150-K$149)*10)))</f>
        <v>9.74</v>
      </c>
      <c r="L15" s="2">
        <f>IF(VLOOKUP($B15,'Indicator Data (national)'!$B$5:$AQ$14,34,FALSE)="No data","x",IF(VLOOKUP($B15,'Indicator Data (national)'!$B$5:$AQ$14,34,FALSE)&gt;L$150,10,IF(VLOOKUP($B15,'Indicator Data (national)'!$B$5:$AQ$14,34,FALSE)&lt;L$149,0,(L$150-VLOOKUP($B15,'Indicator Data (national)'!$B$5:$AQ$14,34,FALSE))/(L$150-L$149)*10)))</f>
        <v>7.5037411936316705</v>
      </c>
      <c r="M15" s="3">
        <f t="shared" si="7"/>
        <v>8.6218705968158353</v>
      </c>
      <c r="N15" s="2">
        <f>IF(VLOOKUP($B15,'Indicator Data (national)'!$B$5:$AS$14,44,FALSE)="No data","x",IF(VLOOKUP($B15,'Indicator Data (national)'!$B$5:$AS$14,44,FALSE)&gt;N$150,10,IF(VLOOKUP($B15,'Indicator Data (national)'!$B$5:$AS$14,44,FALSE)&lt;N$149,0,10-(N$150-VLOOKUP($B15,'Indicator Data (national)'!$B$5:$AS$14,44,FALSE))/(N$150-N$149)*10)))</f>
        <v>5.3444444444444441</v>
      </c>
      <c r="O15" s="2">
        <f>IF(VLOOKUP($B15,'Indicator Data (national)'!$B$5:$AS$14,42,FALSE)="No data","x",IF(VLOOKUP($B15,'Indicator Data (national)'!$B$5:$AS$14,42,FALSE)&gt;O$150,0,IF(VLOOKUP($B15,'Indicator Data (national)'!$B$5:$AS$14,42,FALSE)&lt;O$149,10,(O$150-VLOOKUP($B15,'Indicator Data (national)'!$B$5:$AS$14,42,FALSE))/(O$150-O$149)*10)))</f>
        <v>7.1140939597315436</v>
      </c>
      <c r="P15" s="158">
        <f t="shared" si="8"/>
        <v>6.2292692020879938</v>
      </c>
      <c r="Q15" s="2" t="str">
        <f>IF(VLOOKUP($B15,'Indicator Data (national)'!$B$5:$Q$14,16,FALSE)="No data","x",IF(VLOOKUP($B15,'Indicator Data (national)'!$B$5:$Q$14,16,FALSE)&gt;Q$150,0,IF(VLOOKUP($B15,'Indicator Data (national)'!$B$5:$Q$14,16,FALSE)&lt;Q$149,10,(Q$150-VLOOKUP($B15,'Indicator Data (national)'!$B$5:$Q$14,16,FALSE))/(Q$150-Q$149)*10)))</f>
        <v>x</v>
      </c>
      <c r="R15" s="158" t="str">
        <f t="shared" si="9"/>
        <v>x</v>
      </c>
      <c r="S15" s="3">
        <f t="shared" si="0"/>
        <v>6.2292692020879938</v>
      </c>
      <c r="T15" s="2" t="str">
        <f>IF(VLOOKUP($B15,'Indicator Data (national)'!$B$5:$BC$14,43,FALSE)="No data","x",IF(VLOOKUP($B15,'Indicator Data (national)'!$B$5:$BC$14,43,FALSE)&gt;T$150,10,IF(VLOOKUP($B15,'Indicator Data (national)'!$B$5:$BC$14,43,FALSE)&lt;T$149,0,(T$150-VLOOKUP($B15,'Indicator Data (national)'!$B$5:$BC$14,43,FALSE))/(T$150-T$149)*10)))</f>
        <v>x</v>
      </c>
      <c r="U15" s="3" t="str">
        <f t="shared" si="10"/>
        <v>x</v>
      </c>
      <c r="V15" s="5">
        <f t="shared" si="1"/>
        <v>7.425569899451915</v>
      </c>
      <c r="W15" s="2">
        <f>IF(VLOOKUP($B15,'Indicator Data (national)'!$B$5:$AS$14,37,FALSE)="No data","x",IF(VLOOKUP($B15,'Indicator Data (national)'!$B$5:$AS$14,37,FALSE)&gt;W$150,10,IF(VLOOKUP($B15,'Indicator Data (national)'!$B$5:$AS$14,37,FALSE)&lt;W$149,0,(LOG(W$150)-LOG(VLOOKUP($B15,'Indicator Data (national)'!$B$5:$AS$14,37,FALSE)))/(LOG(W$150)-LOG(W$149))*10)))</f>
        <v>9.6403370343401456</v>
      </c>
      <c r="X15" s="2">
        <f>IF(VLOOKUP($B15,'Indicator Data (national)'!$B$5:$BB$14,45,FALSE)="No data","x",IF(VLOOKUP($B15,'Indicator Data (national)'!$B$5:$BB$14,45,FALSE)&gt;X$150,10,IF(VLOOKUP($B15,'Indicator Data (national)'!$B$5:$BB$14,45,FALSE)&lt;X$149,0,10-(X$150-VLOOKUP($B15,'Indicator Data (national)'!$B$5:$BB$14,45,FALSE))/(X$150-X$149)*10)))</f>
        <v>2.8888888888888884</v>
      </c>
      <c r="Y15" s="2">
        <f>IF(VLOOKUP($B15,'Indicator Data (national)'!$B$5:$BB$14,46,FALSE)="No data","x",IF(VLOOKUP($B15,'Indicator Data (national)'!$B$5:$BB$14,46,FALSE)&gt;Y$150,10,IF(VLOOKUP($B15,'Indicator Data (national)'!$B$5:$BB$14,46,FALSE)&lt;Y$149,0,(Y$150-VLOOKUP($B15,'Indicator Data (national)'!$B$5:$BB$14,46,FALSE))/(Y$150-Y$149)*10)))</f>
        <v>3</v>
      </c>
      <c r="Z15" s="156">
        <f>IF(VLOOKUP($B15,'Indicator Data (national)'!$B$5:$BB$14,48,FALSE)="No data","x",VLOOKUP($B15,'Indicator Data (national)'!$B$5:$BB$14,47,FALSE)*VLOOKUP($B15,'Indicator Data (national)'!$B$5:$BB$14,48,FALSE))</f>
        <v>6.7502679667710721</v>
      </c>
      <c r="AA15" s="2">
        <f t="shared" si="11"/>
        <v>9.3249732033228927</v>
      </c>
      <c r="AB15" s="3">
        <f t="shared" si="12"/>
        <v>6.2135497816379814</v>
      </c>
      <c r="AC15" s="2">
        <f>IF(VLOOKUP($B15,'Indicator Data (national)'!$B$5:$BB$14,49,FALSE)="No data","x",IF(VLOOKUP($B15,'Indicator Data (national)'!$B$5:$BB$14,49,FALSE)&gt;AC$150,0,IF(VLOOKUP($B15,'Indicator Data (national)'!$B$5:$BB$14,49,FALSE)&lt;AC$149,10,(AC$150-VLOOKUP($B15,'Indicator Data (national)'!$B$5:$BB$14,49,FALSE))/(AC$150-AC$149)*10)))</f>
        <v>9.9760000000000009</v>
      </c>
      <c r="AD15" s="2">
        <f>IF(VLOOKUP($B15,'Indicator Data (national)'!$B$5:$BB$14,50,FALSE)="No data","x",IF(VLOOKUP($B15,'Indicator Data (national)'!$B$5:$BB$14,50,FALSE)&gt;AD$150,0,IF(VLOOKUP($B15,'Indicator Data (national)'!$B$5:$BB$14,50,FALSE)&lt;AD$149,10,(AD$150-VLOOKUP($B15,'Indicator Data (national)'!$B$5:$BB$14,50,FALSE))/(AD$150-AD$149)*10)))</f>
        <v>9.9932000000000016</v>
      </c>
      <c r="AE15" s="3">
        <f t="shared" si="13"/>
        <v>9.9846000000000004</v>
      </c>
      <c r="AF15" s="2">
        <f>IF(VLOOKUP($B15,'Indicator Data (national)'!$B$5:$BB$14,51,FALSE)="No data","x",IF(VLOOKUP($B15,'Indicator Data (national)'!$B$5:$BB$14,51,FALSE)&gt;AF$150,0,IF(VLOOKUP($B15,'Indicator Data (national)'!$B$5:$BB$14,51,FALSE)&lt;AF$149,10,(AF$150-VLOOKUP($B15,'Indicator Data (national)'!$B$5:$BB$14,51,FALSE))/(AF$150-AF$149)*10)))</f>
        <v>6.2115135335653671</v>
      </c>
      <c r="AG15" s="2">
        <f>IF(VLOOKUP($B15,'Indicator Data (national)'!$B$5:$BB$14,52,FALSE)="No data","x",IF(VLOOKUP($B15,'Indicator Data (national)'!$B$5:$BB$14,52,FALSE)&gt;AG$150,0,IF(VLOOKUP($B15,'Indicator Data (national)'!$B$5:$BB$14,52,FALSE)&lt;AG$149,10,(AG$150-VLOOKUP($B15,'Indicator Data (national)'!$B$5:$BB$14,52,FALSE))/(AG$150-AG$149)*10)))</f>
        <v>9.0606648000000014</v>
      </c>
      <c r="AH15" s="2">
        <f>IF(VLOOKUP($B15,'Indicator Data (national)'!$B$5:$BB$14,53,FALSE)="No data","x",IF(VLOOKUP($B15,'Indicator Data (national)'!$B$5:$BB$14,53,FALSE)&gt;AH$150,0,IF(VLOOKUP($B15,'Indicator Data (national)'!$B$5:$BB$14,53,FALSE)&lt;AH$149,10,(AH$150-VLOOKUP($B15,'Indicator Data (national)'!$B$5:$BB$14,53,FALSE))/(AH$150-AH$149)*10)))</f>
        <v>6.4163309694955863</v>
      </c>
      <c r="AI15" s="3">
        <f t="shared" si="14"/>
        <v>7.2295031010203177</v>
      </c>
      <c r="AJ15" s="5">
        <f t="shared" si="2"/>
        <v>7.8092176275527656</v>
      </c>
    </row>
    <row r="16" spans="1:50" s="11" customFormat="1" x14ac:dyDescent="0.25">
      <c r="A16" s="16" t="s">
        <v>354</v>
      </c>
      <c r="B16" s="126" t="s">
        <v>572</v>
      </c>
      <c r="C16" s="16" t="s">
        <v>355</v>
      </c>
      <c r="D16" s="120">
        <f>(VLOOKUP($B16,'Indicator Data (national)'!$B$5:$AP$14,39,FALSE)+VLOOKUP($B16,'Indicator Data (national)'!$B$5:$AP$14,40,FALSE)+VLOOKUP($B16,'Indicator Data (national)'!$B$5:$AP$14,41,FALSE))/VLOOKUP($B16,'Indicator Data (national)'!$B$5:$AP$14,38,FALSE)*1000000</f>
        <v>1.2851128045648466</v>
      </c>
      <c r="E16" s="2">
        <f t="shared" si="3"/>
        <v>3.5744359771757672</v>
      </c>
      <c r="F16" s="3">
        <f t="shared" si="4"/>
        <v>3.5744359771757672</v>
      </c>
      <c r="G16" s="2">
        <f>IF(VLOOKUP($B16,'Indicator Data (national)'!$B$5:$AQ$14,30,FALSE)="No data","x",IF(VLOOKUP($B16,'Indicator Data (national)'!$B$5:$AQ$14,30,FALSE)&gt;G$150,10,IF(VLOOKUP($B16,'Indicator Data (national)'!$B$5:$AQ$14,30,FALSE)&lt;G$149,0,(G$150-VLOOKUP($B16,'Indicator Data (national)'!$B$5:$AQ$14,30,FALSE))/(G$150-G$149)*10)))</f>
        <v>8</v>
      </c>
      <c r="H16" s="2">
        <f>IF(VLOOKUP($B16,'Indicator Data (national)'!$B$5:$AQ$14,29,FALSE)="No data","x",IF(VLOOKUP($B16,'Indicator Data (national)'!$B$5:$AQ$14,29,FALSE)&gt;H$150,10,IF(VLOOKUP($B16,'Indicator Data (national)'!$B$5:$AQ$14,29,FALSE)&lt;H$149,0,(H$150-VLOOKUP($B16,'Indicator Data (national)'!$B$5:$AQ$14,29,FALSE))/(H$150-H$149)*10)))</f>
        <v>7.1496026515960693</v>
      </c>
      <c r="I16" s="3">
        <f t="shared" si="5"/>
        <v>7.5748013257980347</v>
      </c>
      <c r="J16" s="5">
        <f t="shared" si="6"/>
        <v>5.5746186514869009</v>
      </c>
      <c r="K16" s="2">
        <f>IF(VLOOKUP($B16,'Indicator Data (national)'!$B$5:$AQ$14,33,FALSE)="No data","x",IF(VLOOKUP($B16,'Indicator Data (national)'!$B$5:$AQ$14,33,FALSE)&gt;K$150,10,IF(VLOOKUP($B16,'Indicator Data (national)'!$B$5:$AQ$14,33,FALSE)&lt;K$149,0,(K$150-VLOOKUP($B16,'Indicator Data (national)'!$B$5:$AQ$14,33,FALSE))/(K$150-K$149)*10)))</f>
        <v>9.74</v>
      </c>
      <c r="L16" s="2">
        <f>IF(VLOOKUP($B16,'Indicator Data (national)'!$B$5:$AQ$14,34,FALSE)="No data","x",IF(VLOOKUP($B16,'Indicator Data (national)'!$B$5:$AQ$14,34,FALSE)&gt;L$150,10,IF(VLOOKUP($B16,'Indicator Data (national)'!$B$5:$AQ$14,34,FALSE)&lt;L$149,0,(L$150-VLOOKUP($B16,'Indicator Data (national)'!$B$5:$AQ$14,34,FALSE))/(L$150-L$149)*10)))</f>
        <v>7.5037411936316705</v>
      </c>
      <c r="M16" s="3">
        <f t="shared" si="7"/>
        <v>8.6218705968158353</v>
      </c>
      <c r="N16" s="2">
        <f>IF(VLOOKUP($B16,'Indicator Data (national)'!$B$5:$AS$14,44,FALSE)="No data","x",IF(VLOOKUP($B16,'Indicator Data (national)'!$B$5:$AS$14,44,FALSE)&gt;N$150,10,IF(VLOOKUP($B16,'Indicator Data (national)'!$B$5:$AS$14,44,FALSE)&lt;N$149,0,10-(N$150-VLOOKUP($B16,'Indicator Data (national)'!$B$5:$AS$14,44,FALSE))/(N$150-N$149)*10)))</f>
        <v>5.3444444444444441</v>
      </c>
      <c r="O16" s="2">
        <f>IF(VLOOKUP($B16,'Indicator Data (national)'!$B$5:$AS$14,42,FALSE)="No data","x",IF(VLOOKUP($B16,'Indicator Data (national)'!$B$5:$AS$14,42,FALSE)&gt;O$150,0,IF(VLOOKUP($B16,'Indicator Data (national)'!$B$5:$AS$14,42,FALSE)&lt;O$149,10,(O$150-VLOOKUP($B16,'Indicator Data (national)'!$B$5:$AS$14,42,FALSE))/(O$150-O$149)*10)))</f>
        <v>7.1140939597315436</v>
      </c>
      <c r="P16" s="158">
        <f t="shared" si="8"/>
        <v>6.2292692020879938</v>
      </c>
      <c r="Q16" s="2" t="str">
        <f>IF(VLOOKUP($B16,'Indicator Data (national)'!$B$5:$Q$14,16,FALSE)="No data","x",IF(VLOOKUP($B16,'Indicator Data (national)'!$B$5:$Q$14,16,FALSE)&gt;Q$150,0,IF(VLOOKUP($B16,'Indicator Data (national)'!$B$5:$Q$14,16,FALSE)&lt;Q$149,10,(Q$150-VLOOKUP($B16,'Indicator Data (national)'!$B$5:$Q$14,16,FALSE))/(Q$150-Q$149)*10)))</f>
        <v>x</v>
      </c>
      <c r="R16" s="158" t="str">
        <f t="shared" si="9"/>
        <v>x</v>
      </c>
      <c r="S16" s="3">
        <f t="shared" si="0"/>
        <v>6.2292692020879938</v>
      </c>
      <c r="T16" s="2" t="str">
        <f>IF(VLOOKUP($B16,'Indicator Data (national)'!$B$5:$BC$14,43,FALSE)="No data","x",IF(VLOOKUP($B16,'Indicator Data (national)'!$B$5:$BC$14,43,FALSE)&gt;T$150,10,IF(VLOOKUP($B16,'Indicator Data (national)'!$B$5:$BC$14,43,FALSE)&lt;T$149,0,(T$150-VLOOKUP($B16,'Indicator Data (national)'!$B$5:$BC$14,43,FALSE))/(T$150-T$149)*10)))</f>
        <v>x</v>
      </c>
      <c r="U16" s="3" t="str">
        <f t="shared" si="10"/>
        <v>x</v>
      </c>
      <c r="V16" s="5">
        <f t="shared" si="1"/>
        <v>7.425569899451915</v>
      </c>
      <c r="W16" s="2">
        <f>IF(VLOOKUP($B16,'Indicator Data (national)'!$B$5:$AS$14,37,FALSE)="No data","x",IF(VLOOKUP($B16,'Indicator Data (national)'!$B$5:$AS$14,37,FALSE)&gt;W$150,10,IF(VLOOKUP($B16,'Indicator Data (national)'!$B$5:$AS$14,37,FALSE)&lt;W$149,0,(LOG(W$150)-LOG(VLOOKUP($B16,'Indicator Data (national)'!$B$5:$AS$14,37,FALSE)))/(LOG(W$150)-LOG(W$149))*10)))</f>
        <v>9.6403370343401456</v>
      </c>
      <c r="X16" s="2">
        <f>IF(VLOOKUP($B16,'Indicator Data (national)'!$B$5:$BB$14,45,FALSE)="No data","x",IF(VLOOKUP($B16,'Indicator Data (national)'!$B$5:$BB$14,45,FALSE)&gt;X$150,10,IF(VLOOKUP($B16,'Indicator Data (national)'!$B$5:$BB$14,45,FALSE)&lt;X$149,0,10-(X$150-VLOOKUP($B16,'Indicator Data (national)'!$B$5:$BB$14,45,FALSE))/(X$150-X$149)*10)))</f>
        <v>2.8888888888888884</v>
      </c>
      <c r="Y16" s="2">
        <f>IF(VLOOKUP($B16,'Indicator Data (national)'!$B$5:$BB$14,46,FALSE)="No data","x",IF(VLOOKUP($B16,'Indicator Data (national)'!$B$5:$BB$14,46,FALSE)&gt;Y$150,10,IF(VLOOKUP($B16,'Indicator Data (national)'!$B$5:$BB$14,46,FALSE)&lt;Y$149,0,(Y$150-VLOOKUP($B16,'Indicator Data (national)'!$B$5:$BB$14,46,FALSE))/(Y$150-Y$149)*10)))</f>
        <v>3</v>
      </c>
      <c r="Z16" s="156">
        <f>IF(VLOOKUP($B16,'Indicator Data (national)'!$B$5:$BB$14,48,FALSE)="No data","x",VLOOKUP($B16,'Indicator Data (national)'!$B$5:$BB$14,47,FALSE)*VLOOKUP($B16,'Indicator Data (national)'!$B$5:$BB$14,48,FALSE))</f>
        <v>6.7502679667710721</v>
      </c>
      <c r="AA16" s="2">
        <f t="shared" si="11"/>
        <v>9.3249732033228927</v>
      </c>
      <c r="AB16" s="3">
        <f t="shared" si="12"/>
        <v>6.2135497816379814</v>
      </c>
      <c r="AC16" s="2">
        <f>IF(VLOOKUP($B16,'Indicator Data (national)'!$B$5:$BB$14,49,FALSE)="No data","x",IF(VLOOKUP($B16,'Indicator Data (national)'!$B$5:$BB$14,49,FALSE)&gt;AC$150,0,IF(VLOOKUP($B16,'Indicator Data (national)'!$B$5:$BB$14,49,FALSE)&lt;AC$149,10,(AC$150-VLOOKUP($B16,'Indicator Data (national)'!$B$5:$BB$14,49,FALSE))/(AC$150-AC$149)*10)))</f>
        <v>9.9760000000000009</v>
      </c>
      <c r="AD16" s="2">
        <f>IF(VLOOKUP($B16,'Indicator Data (national)'!$B$5:$BB$14,50,FALSE)="No data","x",IF(VLOOKUP($B16,'Indicator Data (national)'!$B$5:$BB$14,50,FALSE)&gt;AD$150,0,IF(VLOOKUP($B16,'Indicator Data (national)'!$B$5:$BB$14,50,FALSE)&lt;AD$149,10,(AD$150-VLOOKUP($B16,'Indicator Data (national)'!$B$5:$BB$14,50,FALSE))/(AD$150-AD$149)*10)))</f>
        <v>9.9932000000000016</v>
      </c>
      <c r="AE16" s="3">
        <f t="shared" si="13"/>
        <v>9.9846000000000004</v>
      </c>
      <c r="AF16" s="2">
        <f>IF(VLOOKUP($B16,'Indicator Data (national)'!$B$5:$BB$14,51,FALSE)="No data","x",IF(VLOOKUP($B16,'Indicator Data (national)'!$B$5:$BB$14,51,FALSE)&gt;AF$150,0,IF(VLOOKUP($B16,'Indicator Data (national)'!$B$5:$BB$14,51,FALSE)&lt;AF$149,10,(AF$150-VLOOKUP($B16,'Indicator Data (national)'!$B$5:$BB$14,51,FALSE))/(AF$150-AF$149)*10)))</f>
        <v>6.2115135335653671</v>
      </c>
      <c r="AG16" s="2">
        <f>IF(VLOOKUP($B16,'Indicator Data (national)'!$B$5:$BB$14,52,FALSE)="No data","x",IF(VLOOKUP($B16,'Indicator Data (national)'!$B$5:$BB$14,52,FALSE)&gt;AG$150,0,IF(VLOOKUP($B16,'Indicator Data (national)'!$B$5:$BB$14,52,FALSE)&lt;AG$149,10,(AG$150-VLOOKUP($B16,'Indicator Data (national)'!$B$5:$BB$14,52,FALSE))/(AG$150-AG$149)*10)))</f>
        <v>9.0606648000000014</v>
      </c>
      <c r="AH16" s="2">
        <f>IF(VLOOKUP($B16,'Indicator Data (national)'!$B$5:$BB$14,53,FALSE)="No data","x",IF(VLOOKUP($B16,'Indicator Data (national)'!$B$5:$BB$14,53,FALSE)&gt;AH$150,0,IF(VLOOKUP($B16,'Indicator Data (national)'!$B$5:$BB$14,53,FALSE)&lt;AH$149,10,(AH$150-VLOOKUP($B16,'Indicator Data (national)'!$B$5:$BB$14,53,FALSE))/(AH$150-AH$149)*10)))</f>
        <v>6.4163309694955863</v>
      </c>
      <c r="AI16" s="3">
        <f t="shared" si="14"/>
        <v>7.2295031010203177</v>
      </c>
      <c r="AJ16" s="5">
        <f t="shared" si="2"/>
        <v>7.8092176275527656</v>
      </c>
    </row>
    <row r="17" spans="1:36" s="11" customFormat="1" x14ac:dyDescent="0.25">
      <c r="A17" s="16" t="s">
        <v>356</v>
      </c>
      <c r="B17" s="126" t="s">
        <v>572</v>
      </c>
      <c r="C17" s="16" t="s">
        <v>357</v>
      </c>
      <c r="D17" s="120">
        <f>(VLOOKUP($B17,'Indicator Data (national)'!$B$5:$AP$14,39,FALSE)+VLOOKUP($B17,'Indicator Data (national)'!$B$5:$AP$14,40,FALSE)+VLOOKUP($B17,'Indicator Data (national)'!$B$5:$AP$14,41,FALSE))/VLOOKUP($B17,'Indicator Data (national)'!$B$5:$AP$14,38,FALSE)*1000000</f>
        <v>1.2851128045648466</v>
      </c>
      <c r="E17" s="2">
        <f t="shared" si="3"/>
        <v>3.5744359771757672</v>
      </c>
      <c r="F17" s="3">
        <f t="shared" si="4"/>
        <v>3.5744359771757672</v>
      </c>
      <c r="G17" s="2">
        <f>IF(VLOOKUP($B17,'Indicator Data (national)'!$B$5:$AQ$14,30,FALSE)="No data","x",IF(VLOOKUP($B17,'Indicator Data (national)'!$B$5:$AQ$14,30,FALSE)&gt;G$150,10,IF(VLOOKUP($B17,'Indicator Data (national)'!$B$5:$AQ$14,30,FALSE)&lt;G$149,0,(G$150-VLOOKUP($B17,'Indicator Data (national)'!$B$5:$AQ$14,30,FALSE))/(G$150-G$149)*10)))</f>
        <v>8</v>
      </c>
      <c r="H17" s="2">
        <f>IF(VLOOKUP($B17,'Indicator Data (national)'!$B$5:$AQ$14,29,FALSE)="No data","x",IF(VLOOKUP($B17,'Indicator Data (national)'!$B$5:$AQ$14,29,FALSE)&gt;H$150,10,IF(VLOOKUP($B17,'Indicator Data (national)'!$B$5:$AQ$14,29,FALSE)&lt;H$149,0,(H$150-VLOOKUP($B17,'Indicator Data (national)'!$B$5:$AQ$14,29,FALSE))/(H$150-H$149)*10)))</f>
        <v>7.1496026515960693</v>
      </c>
      <c r="I17" s="3">
        <f t="shared" si="5"/>
        <v>7.5748013257980347</v>
      </c>
      <c r="J17" s="5">
        <f t="shared" si="6"/>
        <v>5.5746186514869009</v>
      </c>
      <c r="K17" s="2">
        <f>IF(VLOOKUP($B17,'Indicator Data (national)'!$B$5:$AQ$14,33,FALSE)="No data","x",IF(VLOOKUP($B17,'Indicator Data (national)'!$B$5:$AQ$14,33,FALSE)&gt;K$150,10,IF(VLOOKUP($B17,'Indicator Data (national)'!$B$5:$AQ$14,33,FALSE)&lt;K$149,0,(K$150-VLOOKUP($B17,'Indicator Data (national)'!$B$5:$AQ$14,33,FALSE))/(K$150-K$149)*10)))</f>
        <v>9.74</v>
      </c>
      <c r="L17" s="2">
        <f>IF(VLOOKUP($B17,'Indicator Data (national)'!$B$5:$AQ$14,34,FALSE)="No data","x",IF(VLOOKUP($B17,'Indicator Data (national)'!$B$5:$AQ$14,34,FALSE)&gt;L$150,10,IF(VLOOKUP($B17,'Indicator Data (national)'!$B$5:$AQ$14,34,FALSE)&lt;L$149,0,(L$150-VLOOKUP($B17,'Indicator Data (national)'!$B$5:$AQ$14,34,FALSE))/(L$150-L$149)*10)))</f>
        <v>7.5037411936316705</v>
      </c>
      <c r="M17" s="3">
        <f t="shared" si="7"/>
        <v>8.6218705968158353</v>
      </c>
      <c r="N17" s="2">
        <f>IF(VLOOKUP($B17,'Indicator Data (national)'!$B$5:$AS$14,44,FALSE)="No data","x",IF(VLOOKUP($B17,'Indicator Data (national)'!$B$5:$AS$14,44,FALSE)&gt;N$150,10,IF(VLOOKUP($B17,'Indicator Data (national)'!$B$5:$AS$14,44,FALSE)&lt;N$149,0,10-(N$150-VLOOKUP($B17,'Indicator Data (national)'!$B$5:$AS$14,44,FALSE))/(N$150-N$149)*10)))</f>
        <v>5.3444444444444441</v>
      </c>
      <c r="O17" s="2">
        <f>IF(VLOOKUP($B17,'Indicator Data (national)'!$B$5:$AS$14,42,FALSE)="No data","x",IF(VLOOKUP($B17,'Indicator Data (national)'!$B$5:$AS$14,42,FALSE)&gt;O$150,0,IF(VLOOKUP($B17,'Indicator Data (national)'!$B$5:$AS$14,42,FALSE)&lt;O$149,10,(O$150-VLOOKUP($B17,'Indicator Data (national)'!$B$5:$AS$14,42,FALSE))/(O$150-O$149)*10)))</f>
        <v>7.1140939597315436</v>
      </c>
      <c r="P17" s="158">
        <f t="shared" si="8"/>
        <v>6.2292692020879938</v>
      </c>
      <c r="Q17" s="2" t="str">
        <f>IF(VLOOKUP($B17,'Indicator Data (national)'!$B$5:$Q$14,16,FALSE)="No data","x",IF(VLOOKUP($B17,'Indicator Data (national)'!$B$5:$Q$14,16,FALSE)&gt;Q$150,0,IF(VLOOKUP($B17,'Indicator Data (national)'!$B$5:$Q$14,16,FALSE)&lt;Q$149,10,(Q$150-VLOOKUP($B17,'Indicator Data (national)'!$B$5:$Q$14,16,FALSE))/(Q$150-Q$149)*10)))</f>
        <v>x</v>
      </c>
      <c r="R17" s="158" t="str">
        <f t="shared" si="9"/>
        <v>x</v>
      </c>
      <c r="S17" s="3">
        <f t="shared" si="0"/>
        <v>6.2292692020879938</v>
      </c>
      <c r="T17" s="2" t="str">
        <f>IF(VLOOKUP($B17,'Indicator Data (national)'!$B$5:$BC$14,43,FALSE)="No data","x",IF(VLOOKUP($B17,'Indicator Data (national)'!$B$5:$BC$14,43,FALSE)&gt;T$150,10,IF(VLOOKUP($B17,'Indicator Data (national)'!$B$5:$BC$14,43,FALSE)&lt;T$149,0,(T$150-VLOOKUP($B17,'Indicator Data (national)'!$B$5:$BC$14,43,FALSE))/(T$150-T$149)*10)))</f>
        <v>x</v>
      </c>
      <c r="U17" s="3" t="str">
        <f t="shared" si="10"/>
        <v>x</v>
      </c>
      <c r="V17" s="5">
        <f t="shared" si="1"/>
        <v>7.425569899451915</v>
      </c>
      <c r="W17" s="2">
        <f>IF(VLOOKUP($B17,'Indicator Data (national)'!$B$5:$AS$14,37,FALSE)="No data","x",IF(VLOOKUP($B17,'Indicator Data (national)'!$B$5:$AS$14,37,FALSE)&gt;W$150,10,IF(VLOOKUP($B17,'Indicator Data (national)'!$B$5:$AS$14,37,FALSE)&lt;W$149,0,(LOG(W$150)-LOG(VLOOKUP($B17,'Indicator Data (national)'!$B$5:$AS$14,37,FALSE)))/(LOG(W$150)-LOG(W$149))*10)))</f>
        <v>9.6403370343401456</v>
      </c>
      <c r="X17" s="2">
        <f>IF(VLOOKUP($B17,'Indicator Data (national)'!$B$5:$BB$14,45,FALSE)="No data","x",IF(VLOOKUP($B17,'Indicator Data (national)'!$B$5:$BB$14,45,FALSE)&gt;X$150,10,IF(VLOOKUP($B17,'Indicator Data (national)'!$B$5:$BB$14,45,FALSE)&lt;X$149,0,10-(X$150-VLOOKUP($B17,'Indicator Data (national)'!$B$5:$BB$14,45,FALSE))/(X$150-X$149)*10)))</f>
        <v>2.8888888888888884</v>
      </c>
      <c r="Y17" s="2">
        <f>IF(VLOOKUP($B17,'Indicator Data (national)'!$B$5:$BB$14,46,FALSE)="No data","x",IF(VLOOKUP($B17,'Indicator Data (national)'!$B$5:$BB$14,46,FALSE)&gt;Y$150,10,IF(VLOOKUP($B17,'Indicator Data (national)'!$B$5:$BB$14,46,FALSE)&lt;Y$149,0,(Y$150-VLOOKUP($B17,'Indicator Data (national)'!$B$5:$BB$14,46,FALSE))/(Y$150-Y$149)*10)))</f>
        <v>3</v>
      </c>
      <c r="Z17" s="156">
        <f>IF(VLOOKUP($B17,'Indicator Data (national)'!$B$5:$BB$14,48,FALSE)="No data","x",VLOOKUP($B17,'Indicator Data (national)'!$B$5:$BB$14,47,FALSE)*VLOOKUP($B17,'Indicator Data (national)'!$B$5:$BB$14,48,FALSE))</f>
        <v>6.7502679667710721</v>
      </c>
      <c r="AA17" s="2">
        <f t="shared" si="11"/>
        <v>9.3249732033228927</v>
      </c>
      <c r="AB17" s="3">
        <f t="shared" si="12"/>
        <v>6.2135497816379814</v>
      </c>
      <c r="AC17" s="2">
        <f>IF(VLOOKUP($B17,'Indicator Data (national)'!$B$5:$BB$14,49,FALSE)="No data","x",IF(VLOOKUP($B17,'Indicator Data (national)'!$B$5:$BB$14,49,FALSE)&gt;AC$150,0,IF(VLOOKUP($B17,'Indicator Data (national)'!$B$5:$BB$14,49,FALSE)&lt;AC$149,10,(AC$150-VLOOKUP($B17,'Indicator Data (national)'!$B$5:$BB$14,49,FALSE))/(AC$150-AC$149)*10)))</f>
        <v>9.9760000000000009</v>
      </c>
      <c r="AD17" s="2">
        <f>IF(VLOOKUP($B17,'Indicator Data (national)'!$B$5:$BB$14,50,FALSE)="No data","x",IF(VLOOKUP($B17,'Indicator Data (national)'!$B$5:$BB$14,50,FALSE)&gt;AD$150,0,IF(VLOOKUP($B17,'Indicator Data (national)'!$B$5:$BB$14,50,FALSE)&lt;AD$149,10,(AD$150-VLOOKUP($B17,'Indicator Data (national)'!$B$5:$BB$14,50,FALSE))/(AD$150-AD$149)*10)))</f>
        <v>9.9932000000000016</v>
      </c>
      <c r="AE17" s="3">
        <f t="shared" si="13"/>
        <v>9.9846000000000004</v>
      </c>
      <c r="AF17" s="2">
        <f>IF(VLOOKUP($B17,'Indicator Data (national)'!$B$5:$BB$14,51,FALSE)="No data","x",IF(VLOOKUP($B17,'Indicator Data (national)'!$B$5:$BB$14,51,FALSE)&gt;AF$150,0,IF(VLOOKUP($B17,'Indicator Data (national)'!$B$5:$BB$14,51,FALSE)&lt;AF$149,10,(AF$150-VLOOKUP($B17,'Indicator Data (national)'!$B$5:$BB$14,51,FALSE))/(AF$150-AF$149)*10)))</f>
        <v>6.2115135335653671</v>
      </c>
      <c r="AG17" s="2">
        <f>IF(VLOOKUP($B17,'Indicator Data (national)'!$B$5:$BB$14,52,FALSE)="No data","x",IF(VLOOKUP($B17,'Indicator Data (national)'!$B$5:$BB$14,52,FALSE)&gt;AG$150,0,IF(VLOOKUP($B17,'Indicator Data (national)'!$B$5:$BB$14,52,FALSE)&lt;AG$149,10,(AG$150-VLOOKUP($B17,'Indicator Data (national)'!$B$5:$BB$14,52,FALSE))/(AG$150-AG$149)*10)))</f>
        <v>9.0606648000000014</v>
      </c>
      <c r="AH17" s="2">
        <f>IF(VLOOKUP($B17,'Indicator Data (national)'!$B$5:$BB$14,53,FALSE)="No data","x",IF(VLOOKUP($B17,'Indicator Data (national)'!$B$5:$BB$14,53,FALSE)&gt;AH$150,0,IF(VLOOKUP($B17,'Indicator Data (national)'!$B$5:$BB$14,53,FALSE)&lt;AH$149,10,(AH$150-VLOOKUP($B17,'Indicator Data (national)'!$B$5:$BB$14,53,FALSE))/(AH$150-AH$149)*10)))</f>
        <v>6.4163309694955863</v>
      </c>
      <c r="AI17" s="3">
        <f t="shared" si="14"/>
        <v>7.2295031010203177</v>
      </c>
      <c r="AJ17" s="5">
        <f t="shared" si="2"/>
        <v>7.8092176275527656</v>
      </c>
    </row>
    <row r="18" spans="1:36" s="11" customFormat="1" x14ac:dyDescent="0.25">
      <c r="A18" s="16" t="s">
        <v>358</v>
      </c>
      <c r="B18" s="126" t="s">
        <v>572</v>
      </c>
      <c r="C18" s="16" t="s">
        <v>359</v>
      </c>
      <c r="D18" s="120">
        <f>(VLOOKUP($B18,'Indicator Data (national)'!$B$5:$AP$14,39,FALSE)+VLOOKUP($B18,'Indicator Data (national)'!$B$5:$AP$14,40,FALSE)+VLOOKUP($B18,'Indicator Data (national)'!$B$5:$AP$14,41,FALSE))/VLOOKUP($B18,'Indicator Data (national)'!$B$5:$AP$14,38,FALSE)*1000000</f>
        <v>1.2851128045648466</v>
      </c>
      <c r="E18" s="2">
        <f t="shared" si="3"/>
        <v>3.5744359771757672</v>
      </c>
      <c r="F18" s="3">
        <f t="shared" si="4"/>
        <v>3.5744359771757672</v>
      </c>
      <c r="G18" s="2">
        <f>IF(VLOOKUP($B18,'Indicator Data (national)'!$B$5:$AQ$14,30,FALSE)="No data","x",IF(VLOOKUP($B18,'Indicator Data (national)'!$B$5:$AQ$14,30,FALSE)&gt;G$150,10,IF(VLOOKUP($B18,'Indicator Data (national)'!$B$5:$AQ$14,30,FALSE)&lt;G$149,0,(G$150-VLOOKUP($B18,'Indicator Data (national)'!$B$5:$AQ$14,30,FALSE))/(G$150-G$149)*10)))</f>
        <v>8</v>
      </c>
      <c r="H18" s="2">
        <f>IF(VLOOKUP($B18,'Indicator Data (national)'!$B$5:$AQ$14,29,FALSE)="No data","x",IF(VLOOKUP($B18,'Indicator Data (national)'!$B$5:$AQ$14,29,FALSE)&gt;H$150,10,IF(VLOOKUP($B18,'Indicator Data (national)'!$B$5:$AQ$14,29,FALSE)&lt;H$149,0,(H$150-VLOOKUP($B18,'Indicator Data (national)'!$B$5:$AQ$14,29,FALSE))/(H$150-H$149)*10)))</f>
        <v>7.1496026515960693</v>
      </c>
      <c r="I18" s="3">
        <f t="shared" si="5"/>
        <v>7.5748013257980347</v>
      </c>
      <c r="J18" s="5">
        <f t="shared" si="6"/>
        <v>5.5746186514869009</v>
      </c>
      <c r="K18" s="2">
        <f>IF(VLOOKUP($B18,'Indicator Data (national)'!$B$5:$AQ$14,33,FALSE)="No data","x",IF(VLOOKUP($B18,'Indicator Data (national)'!$B$5:$AQ$14,33,FALSE)&gt;K$150,10,IF(VLOOKUP($B18,'Indicator Data (national)'!$B$5:$AQ$14,33,FALSE)&lt;K$149,0,(K$150-VLOOKUP($B18,'Indicator Data (national)'!$B$5:$AQ$14,33,FALSE))/(K$150-K$149)*10)))</f>
        <v>9.74</v>
      </c>
      <c r="L18" s="2">
        <f>IF(VLOOKUP($B18,'Indicator Data (national)'!$B$5:$AQ$14,34,FALSE)="No data","x",IF(VLOOKUP($B18,'Indicator Data (national)'!$B$5:$AQ$14,34,FALSE)&gt;L$150,10,IF(VLOOKUP($B18,'Indicator Data (national)'!$B$5:$AQ$14,34,FALSE)&lt;L$149,0,(L$150-VLOOKUP($B18,'Indicator Data (national)'!$B$5:$AQ$14,34,FALSE))/(L$150-L$149)*10)))</f>
        <v>7.5037411936316705</v>
      </c>
      <c r="M18" s="3">
        <f t="shared" si="7"/>
        <v>8.6218705968158353</v>
      </c>
      <c r="N18" s="2">
        <f>IF(VLOOKUP($B18,'Indicator Data (national)'!$B$5:$AS$14,44,FALSE)="No data","x",IF(VLOOKUP($B18,'Indicator Data (national)'!$B$5:$AS$14,44,FALSE)&gt;N$150,10,IF(VLOOKUP($B18,'Indicator Data (national)'!$B$5:$AS$14,44,FALSE)&lt;N$149,0,10-(N$150-VLOOKUP($B18,'Indicator Data (national)'!$B$5:$AS$14,44,FALSE))/(N$150-N$149)*10)))</f>
        <v>5.3444444444444441</v>
      </c>
      <c r="O18" s="2">
        <f>IF(VLOOKUP($B18,'Indicator Data (national)'!$B$5:$AS$14,42,FALSE)="No data","x",IF(VLOOKUP($B18,'Indicator Data (national)'!$B$5:$AS$14,42,FALSE)&gt;O$150,0,IF(VLOOKUP($B18,'Indicator Data (national)'!$B$5:$AS$14,42,FALSE)&lt;O$149,10,(O$150-VLOOKUP($B18,'Indicator Data (national)'!$B$5:$AS$14,42,FALSE))/(O$150-O$149)*10)))</f>
        <v>7.1140939597315436</v>
      </c>
      <c r="P18" s="158">
        <f t="shared" si="8"/>
        <v>6.2292692020879938</v>
      </c>
      <c r="Q18" s="2" t="str">
        <f>IF(VLOOKUP($B18,'Indicator Data (national)'!$B$5:$Q$14,16,FALSE)="No data","x",IF(VLOOKUP($B18,'Indicator Data (national)'!$B$5:$Q$14,16,FALSE)&gt;Q$150,0,IF(VLOOKUP($B18,'Indicator Data (national)'!$B$5:$Q$14,16,FALSE)&lt;Q$149,10,(Q$150-VLOOKUP($B18,'Indicator Data (national)'!$B$5:$Q$14,16,FALSE))/(Q$150-Q$149)*10)))</f>
        <v>x</v>
      </c>
      <c r="R18" s="158" t="str">
        <f t="shared" si="9"/>
        <v>x</v>
      </c>
      <c r="S18" s="3">
        <f t="shared" si="0"/>
        <v>6.2292692020879938</v>
      </c>
      <c r="T18" s="2" t="str">
        <f>IF(VLOOKUP($B18,'Indicator Data (national)'!$B$5:$BC$14,43,FALSE)="No data","x",IF(VLOOKUP($B18,'Indicator Data (national)'!$B$5:$BC$14,43,FALSE)&gt;T$150,10,IF(VLOOKUP($B18,'Indicator Data (national)'!$B$5:$BC$14,43,FALSE)&lt;T$149,0,(T$150-VLOOKUP($B18,'Indicator Data (national)'!$B$5:$BC$14,43,FALSE))/(T$150-T$149)*10)))</f>
        <v>x</v>
      </c>
      <c r="U18" s="3" t="str">
        <f t="shared" si="10"/>
        <v>x</v>
      </c>
      <c r="V18" s="5">
        <f t="shared" si="1"/>
        <v>7.425569899451915</v>
      </c>
      <c r="W18" s="2">
        <f>IF(VLOOKUP($B18,'Indicator Data (national)'!$B$5:$AS$14,37,FALSE)="No data","x",IF(VLOOKUP($B18,'Indicator Data (national)'!$B$5:$AS$14,37,FALSE)&gt;W$150,10,IF(VLOOKUP($B18,'Indicator Data (national)'!$B$5:$AS$14,37,FALSE)&lt;W$149,0,(LOG(W$150)-LOG(VLOOKUP($B18,'Indicator Data (national)'!$B$5:$AS$14,37,FALSE)))/(LOG(W$150)-LOG(W$149))*10)))</f>
        <v>9.6403370343401456</v>
      </c>
      <c r="X18" s="2">
        <f>IF(VLOOKUP($B18,'Indicator Data (national)'!$B$5:$BB$14,45,FALSE)="No data","x",IF(VLOOKUP($B18,'Indicator Data (national)'!$B$5:$BB$14,45,FALSE)&gt;X$150,10,IF(VLOOKUP($B18,'Indicator Data (national)'!$B$5:$BB$14,45,FALSE)&lt;X$149,0,10-(X$150-VLOOKUP($B18,'Indicator Data (national)'!$B$5:$BB$14,45,FALSE))/(X$150-X$149)*10)))</f>
        <v>2.8888888888888884</v>
      </c>
      <c r="Y18" s="2">
        <f>IF(VLOOKUP($B18,'Indicator Data (national)'!$B$5:$BB$14,46,FALSE)="No data","x",IF(VLOOKUP($B18,'Indicator Data (national)'!$B$5:$BB$14,46,FALSE)&gt;Y$150,10,IF(VLOOKUP($B18,'Indicator Data (national)'!$B$5:$BB$14,46,FALSE)&lt;Y$149,0,(Y$150-VLOOKUP($B18,'Indicator Data (national)'!$B$5:$BB$14,46,FALSE))/(Y$150-Y$149)*10)))</f>
        <v>3</v>
      </c>
      <c r="Z18" s="156">
        <f>IF(VLOOKUP($B18,'Indicator Data (national)'!$B$5:$BB$14,48,FALSE)="No data","x",VLOOKUP($B18,'Indicator Data (national)'!$B$5:$BB$14,47,FALSE)*VLOOKUP($B18,'Indicator Data (national)'!$B$5:$BB$14,48,FALSE))</f>
        <v>6.7502679667710721</v>
      </c>
      <c r="AA18" s="2">
        <f t="shared" si="11"/>
        <v>9.3249732033228927</v>
      </c>
      <c r="AB18" s="3">
        <f t="shared" si="12"/>
        <v>6.2135497816379814</v>
      </c>
      <c r="AC18" s="2">
        <f>IF(VLOOKUP($B18,'Indicator Data (national)'!$B$5:$BB$14,49,FALSE)="No data","x",IF(VLOOKUP($B18,'Indicator Data (national)'!$B$5:$BB$14,49,FALSE)&gt;AC$150,0,IF(VLOOKUP($B18,'Indicator Data (national)'!$B$5:$BB$14,49,FALSE)&lt;AC$149,10,(AC$150-VLOOKUP($B18,'Indicator Data (national)'!$B$5:$BB$14,49,FALSE))/(AC$150-AC$149)*10)))</f>
        <v>9.9760000000000009</v>
      </c>
      <c r="AD18" s="2">
        <f>IF(VLOOKUP($B18,'Indicator Data (national)'!$B$5:$BB$14,50,FALSE)="No data","x",IF(VLOOKUP($B18,'Indicator Data (national)'!$B$5:$BB$14,50,FALSE)&gt;AD$150,0,IF(VLOOKUP($B18,'Indicator Data (national)'!$B$5:$BB$14,50,FALSE)&lt;AD$149,10,(AD$150-VLOOKUP($B18,'Indicator Data (national)'!$B$5:$BB$14,50,FALSE))/(AD$150-AD$149)*10)))</f>
        <v>9.9932000000000016</v>
      </c>
      <c r="AE18" s="3">
        <f t="shared" si="13"/>
        <v>9.9846000000000004</v>
      </c>
      <c r="AF18" s="2">
        <f>IF(VLOOKUP($B18,'Indicator Data (national)'!$B$5:$BB$14,51,FALSE)="No data","x",IF(VLOOKUP($B18,'Indicator Data (national)'!$B$5:$BB$14,51,FALSE)&gt;AF$150,0,IF(VLOOKUP($B18,'Indicator Data (national)'!$B$5:$BB$14,51,FALSE)&lt;AF$149,10,(AF$150-VLOOKUP($B18,'Indicator Data (national)'!$B$5:$BB$14,51,FALSE))/(AF$150-AF$149)*10)))</f>
        <v>6.2115135335653671</v>
      </c>
      <c r="AG18" s="2">
        <f>IF(VLOOKUP($B18,'Indicator Data (national)'!$B$5:$BB$14,52,FALSE)="No data","x",IF(VLOOKUP($B18,'Indicator Data (national)'!$B$5:$BB$14,52,FALSE)&gt;AG$150,0,IF(VLOOKUP($B18,'Indicator Data (national)'!$B$5:$BB$14,52,FALSE)&lt;AG$149,10,(AG$150-VLOOKUP($B18,'Indicator Data (national)'!$B$5:$BB$14,52,FALSE))/(AG$150-AG$149)*10)))</f>
        <v>9.0606648000000014</v>
      </c>
      <c r="AH18" s="2">
        <f>IF(VLOOKUP($B18,'Indicator Data (national)'!$B$5:$BB$14,53,FALSE)="No data","x",IF(VLOOKUP($B18,'Indicator Data (national)'!$B$5:$BB$14,53,FALSE)&gt;AH$150,0,IF(VLOOKUP($B18,'Indicator Data (national)'!$B$5:$BB$14,53,FALSE)&lt;AH$149,10,(AH$150-VLOOKUP($B18,'Indicator Data (national)'!$B$5:$BB$14,53,FALSE))/(AH$150-AH$149)*10)))</f>
        <v>6.4163309694955863</v>
      </c>
      <c r="AI18" s="3">
        <f t="shared" si="14"/>
        <v>7.2295031010203177</v>
      </c>
      <c r="AJ18" s="5">
        <f t="shared" si="2"/>
        <v>7.8092176275527656</v>
      </c>
    </row>
    <row r="19" spans="1:36" s="11" customFormat="1" x14ac:dyDescent="0.25">
      <c r="A19" s="16" t="s">
        <v>360</v>
      </c>
      <c r="B19" s="126" t="s">
        <v>572</v>
      </c>
      <c r="C19" s="16" t="s">
        <v>361</v>
      </c>
      <c r="D19" s="120">
        <f>(VLOOKUP($B19,'Indicator Data (national)'!$B$5:$AP$14,39,FALSE)+VLOOKUP($B19,'Indicator Data (national)'!$B$5:$AP$14,40,FALSE)+VLOOKUP($B19,'Indicator Data (national)'!$B$5:$AP$14,41,FALSE))/VLOOKUP($B19,'Indicator Data (national)'!$B$5:$AP$14,38,FALSE)*1000000</f>
        <v>1.2851128045648466</v>
      </c>
      <c r="E19" s="2">
        <f t="shared" si="3"/>
        <v>3.5744359771757672</v>
      </c>
      <c r="F19" s="3">
        <f t="shared" si="4"/>
        <v>3.5744359771757672</v>
      </c>
      <c r="G19" s="2">
        <f>IF(VLOOKUP($B19,'Indicator Data (national)'!$B$5:$AQ$14,30,FALSE)="No data","x",IF(VLOOKUP($B19,'Indicator Data (national)'!$B$5:$AQ$14,30,FALSE)&gt;G$150,10,IF(VLOOKUP($B19,'Indicator Data (national)'!$B$5:$AQ$14,30,FALSE)&lt;G$149,0,(G$150-VLOOKUP($B19,'Indicator Data (national)'!$B$5:$AQ$14,30,FALSE))/(G$150-G$149)*10)))</f>
        <v>8</v>
      </c>
      <c r="H19" s="2">
        <f>IF(VLOOKUP($B19,'Indicator Data (national)'!$B$5:$AQ$14,29,FALSE)="No data","x",IF(VLOOKUP($B19,'Indicator Data (national)'!$B$5:$AQ$14,29,FALSE)&gt;H$150,10,IF(VLOOKUP($B19,'Indicator Data (national)'!$B$5:$AQ$14,29,FALSE)&lt;H$149,0,(H$150-VLOOKUP($B19,'Indicator Data (national)'!$B$5:$AQ$14,29,FALSE))/(H$150-H$149)*10)))</f>
        <v>7.1496026515960693</v>
      </c>
      <c r="I19" s="3">
        <f t="shared" si="5"/>
        <v>7.5748013257980347</v>
      </c>
      <c r="J19" s="5">
        <f t="shared" si="6"/>
        <v>5.5746186514869009</v>
      </c>
      <c r="K19" s="2">
        <f>IF(VLOOKUP($B19,'Indicator Data (national)'!$B$5:$AQ$14,33,FALSE)="No data","x",IF(VLOOKUP($B19,'Indicator Data (national)'!$B$5:$AQ$14,33,FALSE)&gt;K$150,10,IF(VLOOKUP($B19,'Indicator Data (national)'!$B$5:$AQ$14,33,FALSE)&lt;K$149,0,(K$150-VLOOKUP($B19,'Indicator Data (national)'!$B$5:$AQ$14,33,FALSE))/(K$150-K$149)*10)))</f>
        <v>9.74</v>
      </c>
      <c r="L19" s="2">
        <f>IF(VLOOKUP($B19,'Indicator Data (national)'!$B$5:$AQ$14,34,FALSE)="No data","x",IF(VLOOKUP($B19,'Indicator Data (national)'!$B$5:$AQ$14,34,FALSE)&gt;L$150,10,IF(VLOOKUP($B19,'Indicator Data (national)'!$B$5:$AQ$14,34,FALSE)&lt;L$149,0,(L$150-VLOOKUP($B19,'Indicator Data (national)'!$B$5:$AQ$14,34,FALSE))/(L$150-L$149)*10)))</f>
        <v>7.5037411936316705</v>
      </c>
      <c r="M19" s="3">
        <f t="shared" si="7"/>
        <v>8.6218705968158353</v>
      </c>
      <c r="N19" s="2">
        <f>IF(VLOOKUP($B19,'Indicator Data (national)'!$B$5:$AS$14,44,FALSE)="No data","x",IF(VLOOKUP($B19,'Indicator Data (national)'!$B$5:$AS$14,44,FALSE)&gt;N$150,10,IF(VLOOKUP($B19,'Indicator Data (national)'!$B$5:$AS$14,44,FALSE)&lt;N$149,0,10-(N$150-VLOOKUP($B19,'Indicator Data (national)'!$B$5:$AS$14,44,FALSE))/(N$150-N$149)*10)))</f>
        <v>5.3444444444444441</v>
      </c>
      <c r="O19" s="2">
        <f>IF(VLOOKUP($B19,'Indicator Data (national)'!$B$5:$AS$14,42,FALSE)="No data","x",IF(VLOOKUP($B19,'Indicator Data (national)'!$B$5:$AS$14,42,FALSE)&gt;O$150,0,IF(VLOOKUP($B19,'Indicator Data (national)'!$B$5:$AS$14,42,FALSE)&lt;O$149,10,(O$150-VLOOKUP($B19,'Indicator Data (national)'!$B$5:$AS$14,42,FALSE))/(O$150-O$149)*10)))</f>
        <v>7.1140939597315436</v>
      </c>
      <c r="P19" s="158">
        <f t="shared" si="8"/>
        <v>6.2292692020879938</v>
      </c>
      <c r="Q19" s="2" t="str">
        <f>IF(VLOOKUP($B19,'Indicator Data (national)'!$B$5:$Q$14,16,FALSE)="No data","x",IF(VLOOKUP($B19,'Indicator Data (national)'!$B$5:$Q$14,16,FALSE)&gt;Q$150,0,IF(VLOOKUP($B19,'Indicator Data (national)'!$B$5:$Q$14,16,FALSE)&lt;Q$149,10,(Q$150-VLOOKUP($B19,'Indicator Data (national)'!$B$5:$Q$14,16,FALSE))/(Q$150-Q$149)*10)))</f>
        <v>x</v>
      </c>
      <c r="R19" s="158" t="str">
        <f t="shared" si="9"/>
        <v>x</v>
      </c>
      <c r="S19" s="3">
        <f t="shared" si="0"/>
        <v>6.2292692020879938</v>
      </c>
      <c r="T19" s="2" t="str">
        <f>IF(VLOOKUP($B19,'Indicator Data (national)'!$B$5:$BC$14,43,FALSE)="No data","x",IF(VLOOKUP($B19,'Indicator Data (national)'!$B$5:$BC$14,43,FALSE)&gt;T$150,10,IF(VLOOKUP($B19,'Indicator Data (national)'!$B$5:$BC$14,43,FALSE)&lt;T$149,0,(T$150-VLOOKUP($B19,'Indicator Data (national)'!$B$5:$BC$14,43,FALSE))/(T$150-T$149)*10)))</f>
        <v>x</v>
      </c>
      <c r="U19" s="3" t="str">
        <f t="shared" si="10"/>
        <v>x</v>
      </c>
      <c r="V19" s="5">
        <f t="shared" si="1"/>
        <v>7.425569899451915</v>
      </c>
      <c r="W19" s="2">
        <f>IF(VLOOKUP($B19,'Indicator Data (national)'!$B$5:$AS$14,37,FALSE)="No data","x",IF(VLOOKUP($B19,'Indicator Data (national)'!$B$5:$AS$14,37,FALSE)&gt;W$150,10,IF(VLOOKUP($B19,'Indicator Data (national)'!$B$5:$AS$14,37,FALSE)&lt;W$149,0,(LOG(W$150)-LOG(VLOOKUP($B19,'Indicator Data (national)'!$B$5:$AS$14,37,FALSE)))/(LOG(W$150)-LOG(W$149))*10)))</f>
        <v>9.6403370343401456</v>
      </c>
      <c r="X19" s="2">
        <f>IF(VLOOKUP($B19,'Indicator Data (national)'!$B$5:$BB$14,45,FALSE)="No data","x",IF(VLOOKUP($B19,'Indicator Data (national)'!$B$5:$BB$14,45,FALSE)&gt;X$150,10,IF(VLOOKUP($B19,'Indicator Data (national)'!$B$5:$BB$14,45,FALSE)&lt;X$149,0,10-(X$150-VLOOKUP($B19,'Indicator Data (national)'!$B$5:$BB$14,45,FALSE))/(X$150-X$149)*10)))</f>
        <v>2.8888888888888884</v>
      </c>
      <c r="Y19" s="2">
        <f>IF(VLOOKUP($B19,'Indicator Data (national)'!$B$5:$BB$14,46,FALSE)="No data","x",IF(VLOOKUP($B19,'Indicator Data (national)'!$B$5:$BB$14,46,FALSE)&gt;Y$150,10,IF(VLOOKUP($B19,'Indicator Data (national)'!$B$5:$BB$14,46,FALSE)&lt;Y$149,0,(Y$150-VLOOKUP($B19,'Indicator Data (national)'!$B$5:$BB$14,46,FALSE))/(Y$150-Y$149)*10)))</f>
        <v>3</v>
      </c>
      <c r="Z19" s="156">
        <f>IF(VLOOKUP($B19,'Indicator Data (national)'!$B$5:$BB$14,48,FALSE)="No data","x",VLOOKUP($B19,'Indicator Data (national)'!$B$5:$BB$14,47,FALSE)*VLOOKUP($B19,'Indicator Data (national)'!$B$5:$BB$14,48,FALSE))</f>
        <v>6.7502679667710721</v>
      </c>
      <c r="AA19" s="2">
        <f t="shared" si="11"/>
        <v>9.3249732033228927</v>
      </c>
      <c r="AB19" s="3">
        <f t="shared" si="12"/>
        <v>6.2135497816379814</v>
      </c>
      <c r="AC19" s="2">
        <f>IF(VLOOKUP($B19,'Indicator Data (national)'!$B$5:$BB$14,49,FALSE)="No data","x",IF(VLOOKUP($B19,'Indicator Data (national)'!$B$5:$BB$14,49,FALSE)&gt;AC$150,0,IF(VLOOKUP($B19,'Indicator Data (national)'!$B$5:$BB$14,49,FALSE)&lt;AC$149,10,(AC$150-VLOOKUP($B19,'Indicator Data (national)'!$B$5:$BB$14,49,FALSE))/(AC$150-AC$149)*10)))</f>
        <v>9.9760000000000009</v>
      </c>
      <c r="AD19" s="2">
        <f>IF(VLOOKUP($B19,'Indicator Data (national)'!$B$5:$BB$14,50,FALSE)="No data","x",IF(VLOOKUP($B19,'Indicator Data (national)'!$B$5:$BB$14,50,FALSE)&gt;AD$150,0,IF(VLOOKUP($B19,'Indicator Data (national)'!$B$5:$BB$14,50,FALSE)&lt;AD$149,10,(AD$150-VLOOKUP($B19,'Indicator Data (national)'!$B$5:$BB$14,50,FALSE))/(AD$150-AD$149)*10)))</f>
        <v>9.9932000000000016</v>
      </c>
      <c r="AE19" s="3">
        <f t="shared" si="13"/>
        <v>9.9846000000000004</v>
      </c>
      <c r="AF19" s="2">
        <f>IF(VLOOKUP($B19,'Indicator Data (national)'!$B$5:$BB$14,51,FALSE)="No data","x",IF(VLOOKUP($B19,'Indicator Data (national)'!$B$5:$BB$14,51,FALSE)&gt;AF$150,0,IF(VLOOKUP($B19,'Indicator Data (national)'!$B$5:$BB$14,51,FALSE)&lt;AF$149,10,(AF$150-VLOOKUP($B19,'Indicator Data (national)'!$B$5:$BB$14,51,FALSE))/(AF$150-AF$149)*10)))</f>
        <v>6.2115135335653671</v>
      </c>
      <c r="AG19" s="2">
        <f>IF(VLOOKUP($B19,'Indicator Data (national)'!$B$5:$BB$14,52,FALSE)="No data","x",IF(VLOOKUP($B19,'Indicator Data (national)'!$B$5:$BB$14,52,FALSE)&gt;AG$150,0,IF(VLOOKUP($B19,'Indicator Data (national)'!$B$5:$BB$14,52,FALSE)&lt;AG$149,10,(AG$150-VLOOKUP($B19,'Indicator Data (national)'!$B$5:$BB$14,52,FALSE))/(AG$150-AG$149)*10)))</f>
        <v>9.0606648000000014</v>
      </c>
      <c r="AH19" s="2">
        <f>IF(VLOOKUP($B19,'Indicator Data (national)'!$B$5:$BB$14,53,FALSE)="No data","x",IF(VLOOKUP($B19,'Indicator Data (national)'!$B$5:$BB$14,53,FALSE)&gt;AH$150,0,IF(VLOOKUP($B19,'Indicator Data (national)'!$B$5:$BB$14,53,FALSE)&lt;AH$149,10,(AH$150-VLOOKUP($B19,'Indicator Data (national)'!$B$5:$BB$14,53,FALSE))/(AH$150-AH$149)*10)))</f>
        <v>6.4163309694955863</v>
      </c>
      <c r="AI19" s="3">
        <f t="shared" si="14"/>
        <v>7.2295031010203177</v>
      </c>
      <c r="AJ19" s="5">
        <f t="shared" si="2"/>
        <v>7.8092176275527656</v>
      </c>
    </row>
    <row r="20" spans="1:36" s="11" customFormat="1" x14ac:dyDescent="0.25">
      <c r="A20" s="16" t="s">
        <v>363</v>
      </c>
      <c r="B20" s="11" t="s">
        <v>573</v>
      </c>
      <c r="C20" s="16" t="s">
        <v>364</v>
      </c>
      <c r="D20" s="120">
        <f>(VLOOKUP($B20,'Indicator Data (national)'!$B$5:$AP$14,39,FALSE)+VLOOKUP($B20,'Indicator Data (national)'!$B$5:$AP$14,40,FALSE)+VLOOKUP($B20,'Indicator Data (national)'!$B$5:$AP$14,41,FALSE))/VLOOKUP($B20,'Indicator Data (national)'!$B$5:$AP$14,38,FALSE)*1000000</f>
        <v>3.2419478264057222</v>
      </c>
      <c r="E20" s="2">
        <f t="shared" si="3"/>
        <v>0</v>
      </c>
      <c r="F20" s="3">
        <f t="shared" si="4"/>
        <v>0</v>
      </c>
      <c r="G20" s="2">
        <f>IF(VLOOKUP($B20,'Indicator Data (national)'!$B$5:$AQ$14,30,FALSE)="No data","x",IF(VLOOKUP($B20,'Indicator Data (national)'!$B$5:$AQ$14,30,FALSE)&gt;G$150,10,IF(VLOOKUP($B20,'Indicator Data (national)'!$B$5:$AQ$14,30,FALSE)&lt;G$149,0,(G$150-VLOOKUP($B20,'Indicator Data (national)'!$B$5:$AQ$14,30,FALSE))/(G$150-G$149)*10)))</f>
        <v>6.6000000000000005</v>
      </c>
      <c r="H20" s="2">
        <f>IF(VLOOKUP($B20,'Indicator Data (national)'!$B$5:$AQ$14,29,FALSE)="No data","x",IF(VLOOKUP($B20,'Indicator Data (national)'!$B$5:$AQ$14,29,FALSE)&gt;H$150,10,IF(VLOOKUP($B20,'Indicator Data (national)'!$B$5:$AQ$14,29,FALSE)&lt;H$149,0,(H$150-VLOOKUP($B20,'Indicator Data (national)'!$B$5:$AQ$14,29,FALSE))/(H$150-H$149)*10)))</f>
        <v>7.369121789932251</v>
      </c>
      <c r="I20" s="3">
        <f t="shared" si="5"/>
        <v>6.9845608949661262</v>
      </c>
      <c r="J20" s="5">
        <f t="shared" si="6"/>
        <v>3.4922804474830631</v>
      </c>
      <c r="K20" s="2">
        <f>IF(VLOOKUP($B20,'Indicator Data (national)'!$B$5:$AQ$14,33,FALSE)="No data","x",IF(VLOOKUP($B20,'Indicator Data (national)'!$B$5:$AQ$14,33,FALSE)&gt;K$150,10,IF(VLOOKUP($B20,'Indicator Data (national)'!$B$5:$AQ$14,33,FALSE)&lt;K$149,0,(K$150-VLOOKUP($B20,'Indicator Data (national)'!$B$5:$AQ$14,33,FALSE))/(K$150-K$149)*10)))</f>
        <v>8.1000000000000014</v>
      </c>
      <c r="L20" s="2">
        <f>IF(VLOOKUP($B20,'Indicator Data (national)'!$B$5:$AQ$14,34,FALSE)="No data","x",IF(VLOOKUP($B20,'Indicator Data (national)'!$B$5:$AQ$14,34,FALSE)&gt;L$150,10,IF(VLOOKUP($B20,'Indicator Data (national)'!$B$5:$AQ$14,34,FALSE)&lt;L$149,0,(L$150-VLOOKUP($B20,'Indicator Data (national)'!$B$5:$AQ$14,34,FALSE))/(L$150-L$149)*10)))</f>
        <v>7.2034133242910103</v>
      </c>
      <c r="M20" s="3">
        <f t="shared" si="7"/>
        <v>7.6517066621455054</v>
      </c>
      <c r="N20" s="2">
        <f>IF(VLOOKUP($B20,'Indicator Data (national)'!$B$5:$AS$14,44,FALSE)="No data","x",IF(VLOOKUP($B20,'Indicator Data (national)'!$B$5:$AS$14,44,FALSE)&gt;N$150,10,IF(VLOOKUP($B20,'Indicator Data (national)'!$B$5:$AS$14,44,FALSE)&lt;N$149,0,10-(N$150-VLOOKUP($B20,'Indicator Data (national)'!$B$5:$AS$14,44,FALSE))/(N$150-N$149)*10)))</f>
        <v>0.85555555555555607</v>
      </c>
      <c r="O20" s="2">
        <f>IF(VLOOKUP($B20,'Indicator Data (national)'!$B$5:$AS$14,42,FALSE)="No data","x",IF(VLOOKUP($B20,'Indicator Data (national)'!$B$5:$AS$14,42,FALSE)&gt;O$150,0,IF(VLOOKUP($B20,'Indicator Data (national)'!$B$5:$AS$14,42,FALSE)&lt;O$149,10,(O$150-VLOOKUP($B20,'Indicator Data (national)'!$B$5:$AS$14,42,FALSE))/(O$150-O$149)*10)))</f>
        <v>9.1275167744966446</v>
      </c>
      <c r="P20" s="158">
        <f t="shared" si="8"/>
        <v>4.9915361650261003</v>
      </c>
      <c r="Q20" s="2">
        <f>IF(VLOOKUP($B20,'Indicator Data (national)'!$B$5:$Q$14,16,FALSE)="No data","x",IF(VLOOKUP($B20,'Indicator Data (national)'!$B$5:$Q$14,16,FALSE)&gt;Q$150,0,IF(VLOOKUP($B20,'Indicator Data (national)'!$B$5:$Q$14,16,FALSE)&lt;Q$149,10,(Q$150-VLOOKUP($B20,'Indicator Data (national)'!$B$5:$Q$14,16,FALSE))/(Q$150-Q$149)*10)))</f>
        <v>7.7</v>
      </c>
      <c r="R20" s="158">
        <f t="shared" si="9"/>
        <v>7.7</v>
      </c>
      <c r="S20" s="3">
        <f t="shared" si="0"/>
        <v>6.3457680825130502</v>
      </c>
      <c r="T20" s="2" t="str">
        <f>IF(VLOOKUP($B20,'Indicator Data (national)'!$B$5:$BC$14,43,FALSE)="No data","x",IF(VLOOKUP($B20,'Indicator Data (national)'!$B$5:$BC$14,43,FALSE)&gt;T$150,10,IF(VLOOKUP($B20,'Indicator Data (national)'!$B$5:$BC$14,43,FALSE)&lt;T$149,0,(T$150-VLOOKUP($B20,'Indicator Data (national)'!$B$5:$BC$14,43,FALSE))/(T$150-T$149)*10)))</f>
        <v>x</v>
      </c>
      <c r="U20" s="3" t="str">
        <f t="shared" si="10"/>
        <v>x</v>
      </c>
      <c r="V20" s="5">
        <f t="shared" si="1"/>
        <v>6.9987373723292778</v>
      </c>
      <c r="W20" s="2">
        <f>IF(VLOOKUP($B20,'Indicator Data (national)'!$B$5:$AS$14,37,FALSE)="No data","x",IF(VLOOKUP($B20,'Indicator Data (national)'!$B$5:$AS$14,37,FALSE)&gt;W$150,10,IF(VLOOKUP($B20,'Indicator Data (national)'!$B$5:$AS$14,37,FALSE)&lt;W$149,0,(LOG(W$150)-LOG(VLOOKUP($B20,'Indicator Data (national)'!$B$5:$AS$14,37,FALSE)))/(LOG(W$150)-LOG(W$149))*10)))</f>
        <v>6.8584484007726045</v>
      </c>
      <c r="X20" s="2">
        <f>IF(VLOOKUP($B20,'Indicator Data (national)'!$B$5:$BB$14,45,FALSE)="No data","x",IF(VLOOKUP($B20,'Indicator Data (national)'!$B$5:$BB$14,45,FALSE)&gt;X$150,10,IF(VLOOKUP($B20,'Indicator Data (national)'!$B$5:$BB$14,45,FALSE)&lt;X$149,0,10-(X$150-VLOOKUP($B20,'Indicator Data (national)'!$B$5:$BB$14,45,FALSE))/(X$150-X$149)*10)))</f>
        <v>9.5555555555555554</v>
      </c>
      <c r="Y20" s="2">
        <f>IF(VLOOKUP($B20,'Indicator Data (national)'!$B$5:$BB$14,46,FALSE)="No data","x",IF(VLOOKUP($B20,'Indicator Data (national)'!$B$5:$BB$14,46,FALSE)&gt;Y$150,10,IF(VLOOKUP($B20,'Indicator Data (national)'!$B$5:$BB$14,46,FALSE)&lt;Y$149,0,(Y$150-VLOOKUP($B20,'Indicator Data (national)'!$B$5:$BB$14,46,FALSE))/(Y$150-Y$149)*10)))</f>
        <v>7</v>
      </c>
      <c r="Z20" s="156" t="str">
        <f>IF(VLOOKUP($B20,'Indicator Data (national)'!$B$5:$BB$14,48,FALSE)="No data","x",VLOOKUP($B20,'Indicator Data (national)'!$B$5:$BB$14,47,FALSE)*VLOOKUP($B20,'Indicator Data (national)'!$B$5:$BB$14,48,FALSE))</f>
        <v>x</v>
      </c>
      <c r="AA20" s="2" t="str">
        <f t="shared" si="11"/>
        <v>x</v>
      </c>
      <c r="AB20" s="3">
        <f t="shared" si="12"/>
        <v>7.8046679854427206</v>
      </c>
      <c r="AC20" s="2">
        <f>IF(VLOOKUP($B20,'Indicator Data (national)'!$B$5:$BB$14,49,FALSE)="No data","x",IF(VLOOKUP($B20,'Indicator Data (national)'!$B$5:$BB$14,49,FALSE)&gt;AC$150,0,IF(VLOOKUP($B20,'Indicator Data (national)'!$B$5:$BB$14,49,FALSE)&lt;AC$149,10,(AC$150-VLOOKUP($B20,'Indicator Data (national)'!$B$5:$BB$14,49,FALSE))/(AC$150-AC$149)*10)))</f>
        <v>9.532</v>
      </c>
      <c r="AD20" s="2">
        <f>IF(VLOOKUP($B20,'Indicator Data (national)'!$B$5:$BB$14,50,FALSE)="No data","x",IF(VLOOKUP($B20,'Indicator Data (national)'!$B$5:$BB$14,50,FALSE)&gt;AD$150,0,IF(VLOOKUP($B20,'Indicator Data (national)'!$B$5:$BB$14,50,FALSE)&lt;AD$149,10,(AD$150-VLOOKUP($B20,'Indicator Data (national)'!$B$5:$BB$14,50,FALSE))/(AD$150-AD$149)*10)))</f>
        <v>9.3623999999999992</v>
      </c>
      <c r="AE20" s="3">
        <f t="shared" si="13"/>
        <v>9.4471999999999987</v>
      </c>
      <c r="AF20" s="2">
        <f>IF(VLOOKUP($B20,'Indicator Data (national)'!$B$5:$BB$14,51,FALSE)="No data","x",IF(VLOOKUP($B20,'Indicator Data (national)'!$B$5:$BB$14,51,FALSE)&gt;AF$150,0,IF(VLOOKUP($B20,'Indicator Data (national)'!$B$5:$BB$14,51,FALSE)&lt;AF$149,10,(AF$150-VLOOKUP($B20,'Indicator Data (national)'!$B$5:$BB$14,51,FALSE))/(AF$150-AF$149)*10)))</f>
        <v>2.4276028914781209</v>
      </c>
      <c r="AG20" s="2">
        <f>IF(VLOOKUP($B20,'Indicator Data (national)'!$B$5:$BB$14,52,FALSE)="No data","x",IF(VLOOKUP($B20,'Indicator Data (national)'!$B$5:$BB$14,52,FALSE)&gt;AG$150,0,IF(VLOOKUP($B20,'Indicator Data (national)'!$B$5:$BB$14,52,FALSE)&lt;AG$149,10,(AG$150-VLOOKUP($B20,'Indicator Data (national)'!$B$5:$BB$14,52,FALSE))/(AG$150-AG$149)*10)))</f>
        <v>8.8495401999999999</v>
      </c>
      <c r="AH20" s="2">
        <f>IF(VLOOKUP($B20,'Indicator Data (national)'!$B$5:$BB$14,53,FALSE)="No data","x",IF(VLOOKUP($B20,'Indicator Data (national)'!$B$5:$BB$14,53,FALSE)&gt;AH$150,0,IF(VLOOKUP($B20,'Indicator Data (national)'!$B$5:$BB$14,53,FALSE)&lt;AH$149,10,(AH$150-VLOOKUP($B20,'Indicator Data (national)'!$B$5:$BB$14,53,FALSE))/(AH$150-AH$149)*10)))</f>
        <v>5.1047627142873715</v>
      </c>
      <c r="AI20" s="3">
        <f t="shared" si="14"/>
        <v>5.4606352685884971</v>
      </c>
      <c r="AJ20" s="5">
        <f t="shared" si="2"/>
        <v>7.5708344180104055</v>
      </c>
    </row>
    <row r="21" spans="1:36" s="11" customFormat="1" x14ac:dyDescent="0.25">
      <c r="A21" s="16" t="s">
        <v>365</v>
      </c>
      <c r="B21" s="11" t="s">
        <v>573</v>
      </c>
      <c r="C21" s="16" t="s">
        <v>366</v>
      </c>
      <c r="D21" s="120">
        <f>(VLOOKUP($B21,'Indicator Data (national)'!$B$5:$AP$14,39,FALSE)+VLOOKUP($B21,'Indicator Data (national)'!$B$5:$AP$14,40,FALSE)+VLOOKUP($B21,'Indicator Data (national)'!$B$5:$AP$14,41,FALSE))/VLOOKUP($B21,'Indicator Data (national)'!$B$5:$AP$14,38,FALSE)*1000000</f>
        <v>3.2419478264057222</v>
      </c>
      <c r="E21" s="2">
        <f t="shared" si="3"/>
        <v>0</v>
      </c>
      <c r="F21" s="3">
        <f t="shared" si="4"/>
        <v>0</v>
      </c>
      <c r="G21" s="2">
        <f>IF(VLOOKUP($B21,'Indicator Data (national)'!$B$5:$AQ$14,30,FALSE)="No data","x",IF(VLOOKUP($B21,'Indicator Data (national)'!$B$5:$AQ$14,30,FALSE)&gt;G$150,10,IF(VLOOKUP($B21,'Indicator Data (national)'!$B$5:$AQ$14,30,FALSE)&lt;G$149,0,(G$150-VLOOKUP($B21,'Indicator Data (national)'!$B$5:$AQ$14,30,FALSE))/(G$150-G$149)*10)))</f>
        <v>6.6000000000000005</v>
      </c>
      <c r="H21" s="2">
        <f>IF(VLOOKUP($B21,'Indicator Data (national)'!$B$5:$AQ$14,29,FALSE)="No data","x",IF(VLOOKUP($B21,'Indicator Data (national)'!$B$5:$AQ$14,29,FALSE)&gt;H$150,10,IF(VLOOKUP($B21,'Indicator Data (national)'!$B$5:$AQ$14,29,FALSE)&lt;H$149,0,(H$150-VLOOKUP($B21,'Indicator Data (national)'!$B$5:$AQ$14,29,FALSE))/(H$150-H$149)*10)))</f>
        <v>7.369121789932251</v>
      </c>
      <c r="I21" s="3">
        <f t="shared" si="5"/>
        <v>6.9845608949661262</v>
      </c>
      <c r="J21" s="5">
        <f t="shared" si="6"/>
        <v>3.4922804474830631</v>
      </c>
      <c r="K21" s="2">
        <f>IF(VLOOKUP($B21,'Indicator Data (national)'!$B$5:$AQ$14,33,FALSE)="No data","x",IF(VLOOKUP($B21,'Indicator Data (national)'!$B$5:$AQ$14,33,FALSE)&gt;K$150,10,IF(VLOOKUP($B21,'Indicator Data (national)'!$B$5:$AQ$14,33,FALSE)&lt;K$149,0,(K$150-VLOOKUP($B21,'Indicator Data (national)'!$B$5:$AQ$14,33,FALSE))/(K$150-K$149)*10)))</f>
        <v>8.1000000000000014</v>
      </c>
      <c r="L21" s="2">
        <f>IF(VLOOKUP($B21,'Indicator Data (national)'!$B$5:$AQ$14,34,FALSE)="No data","x",IF(VLOOKUP($B21,'Indicator Data (national)'!$B$5:$AQ$14,34,FALSE)&gt;L$150,10,IF(VLOOKUP($B21,'Indicator Data (national)'!$B$5:$AQ$14,34,FALSE)&lt;L$149,0,(L$150-VLOOKUP($B21,'Indicator Data (national)'!$B$5:$AQ$14,34,FALSE))/(L$150-L$149)*10)))</f>
        <v>7.2034133242910103</v>
      </c>
      <c r="M21" s="3">
        <f t="shared" si="7"/>
        <v>7.6517066621455054</v>
      </c>
      <c r="N21" s="2">
        <f>IF(VLOOKUP($B21,'Indicator Data (national)'!$B$5:$AS$14,44,FALSE)="No data","x",IF(VLOOKUP($B21,'Indicator Data (national)'!$B$5:$AS$14,44,FALSE)&gt;N$150,10,IF(VLOOKUP($B21,'Indicator Data (national)'!$B$5:$AS$14,44,FALSE)&lt;N$149,0,10-(N$150-VLOOKUP($B21,'Indicator Data (national)'!$B$5:$AS$14,44,FALSE))/(N$150-N$149)*10)))</f>
        <v>0.85555555555555607</v>
      </c>
      <c r="O21" s="2">
        <f>IF(VLOOKUP($B21,'Indicator Data (national)'!$B$5:$AS$14,42,FALSE)="No data","x",IF(VLOOKUP($B21,'Indicator Data (national)'!$B$5:$AS$14,42,FALSE)&gt;O$150,0,IF(VLOOKUP($B21,'Indicator Data (national)'!$B$5:$AS$14,42,FALSE)&lt;O$149,10,(O$150-VLOOKUP($B21,'Indicator Data (national)'!$B$5:$AS$14,42,FALSE))/(O$150-O$149)*10)))</f>
        <v>9.1275167744966446</v>
      </c>
      <c r="P21" s="158">
        <f t="shared" si="8"/>
        <v>4.9915361650261003</v>
      </c>
      <c r="Q21" s="2">
        <f>IF(VLOOKUP($B21,'Indicator Data (national)'!$B$5:$Q$14,16,FALSE)="No data","x",IF(VLOOKUP($B21,'Indicator Data (national)'!$B$5:$Q$14,16,FALSE)&gt;Q$150,0,IF(VLOOKUP($B21,'Indicator Data (national)'!$B$5:$Q$14,16,FALSE)&lt;Q$149,10,(Q$150-VLOOKUP($B21,'Indicator Data (national)'!$B$5:$Q$14,16,FALSE))/(Q$150-Q$149)*10)))</f>
        <v>7.7</v>
      </c>
      <c r="R21" s="158">
        <f t="shared" si="9"/>
        <v>7.7</v>
      </c>
      <c r="S21" s="3">
        <f t="shared" si="0"/>
        <v>6.3457680825130502</v>
      </c>
      <c r="T21" s="2" t="str">
        <f>IF(VLOOKUP($B21,'Indicator Data (national)'!$B$5:$BC$14,43,FALSE)="No data","x",IF(VLOOKUP($B21,'Indicator Data (national)'!$B$5:$BC$14,43,FALSE)&gt;T$150,10,IF(VLOOKUP($B21,'Indicator Data (national)'!$B$5:$BC$14,43,FALSE)&lt;T$149,0,(T$150-VLOOKUP($B21,'Indicator Data (national)'!$B$5:$BC$14,43,FALSE))/(T$150-T$149)*10)))</f>
        <v>x</v>
      </c>
      <c r="U21" s="3" t="str">
        <f t="shared" si="10"/>
        <v>x</v>
      </c>
      <c r="V21" s="5">
        <f t="shared" si="1"/>
        <v>6.9987373723292778</v>
      </c>
      <c r="W21" s="2">
        <f>IF(VLOOKUP($B21,'Indicator Data (national)'!$B$5:$AS$14,37,FALSE)="No data","x",IF(VLOOKUP($B21,'Indicator Data (national)'!$B$5:$AS$14,37,FALSE)&gt;W$150,10,IF(VLOOKUP($B21,'Indicator Data (national)'!$B$5:$AS$14,37,FALSE)&lt;W$149,0,(LOG(W$150)-LOG(VLOOKUP($B21,'Indicator Data (national)'!$B$5:$AS$14,37,FALSE)))/(LOG(W$150)-LOG(W$149))*10)))</f>
        <v>6.8584484007726045</v>
      </c>
      <c r="X21" s="2">
        <f>IF(VLOOKUP($B21,'Indicator Data (national)'!$B$5:$BB$14,45,FALSE)="No data","x",IF(VLOOKUP($B21,'Indicator Data (national)'!$B$5:$BB$14,45,FALSE)&gt;X$150,10,IF(VLOOKUP($B21,'Indicator Data (national)'!$B$5:$BB$14,45,FALSE)&lt;X$149,0,10-(X$150-VLOOKUP($B21,'Indicator Data (national)'!$B$5:$BB$14,45,FALSE))/(X$150-X$149)*10)))</f>
        <v>9.5555555555555554</v>
      </c>
      <c r="Y21" s="2">
        <f>IF(VLOOKUP($B21,'Indicator Data (national)'!$B$5:$BB$14,46,FALSE)="No data","x",IF(VLOOKUP($B21,'Indicator Data (national)'!$B$5:$BB$14,46,FALSE)&gt;Y$150,10,IF(VLOOKUP($B21,'Indicator Data (national)'!$B$5:$BB$14,46,FALSE)&lt;Y$149,0,(Y$150-VLOOKUP($B21,'Indicator Data (national)'!$B$5:$BB$14,46,FALSE))/(Y$150-Y$149)*10)))</f>
        <v>7</v>
      </c>
      <c r="Z21" s="156" t="str">
        <f>IF(VLOOKUP($B21,'Indicator Data (national)'!$B$5:$BB$14,48,FALSE)="No data","x",VLOOKUP($B21,'Indicator Data (national)'!$B$5:$BB$14,47,FALSE)*VLOOKUP($B21,'Indicator Data (national)'!$B$5:$BB$14,48,FALSE))</f>
        <v>x</v>
      </c>
      <c r="AA21" s="2" t="str">
        <f t="shared" si="11"/>
        <v>x</v>
      </c>
      <c r="AB21" s="3">
        <f t="shared" si="12"/>
        <v>7.8046679854427206</v>
      </c>
      <c r="AC21" s="2">
        <f>IF(VLOOKUP($B21,'Indicator Data (national)'!$B$5:$BB$14,49,FALSE)="No data","x",IF(VLOOKUP($B21,'Indicator Data (national)'!$B$5:$BB$14,49,FALSE)&gt;AC$150,0,IF(VLOOKUP($B21,'Indicator Data (national)'!$B$5:$BB$14,49,FALSE)&lt;AC$149,10,(AC$150-VLOOKUP($B21,'Indicator Data (national)'!$B$5:$BB$14,49,FALSE))/(AC$150-AC$149)*10)))</f>
        <v>9.532</v>
      </c>
      <c r="AD21" s="2">
        <f>IF(VLOOKUP($B21,'Indicator Data (national)'!$B$5:$BB$14,50,FALSE)="No data","x",IF(VLOOKUP($B21,'Indicator Data (national)'!$B$5:$BB$14,50,FALSE)&gt;AD$150,0,IF(VLOOKUP($B21,'Indicator Data (national)'!$B$5:$BB$14,50,FALSE)&lt;AD$149,10,(AD$150-VLOOKUP($B21,'Indicator Data (national)'!$B$5:$BB$14,50,FALSE))/(AD$150-AD$149)*10)))</f>
        <v>9.3623999999999992</v>
      </c>
      <c r="AE21" s="3">
        <f t="shared" si="13"/>
        <v>9.4471999999999987</v>
      </c>
      <c r="AF21" s="2">
        <f>IF(VLOOKUP($B21,'Indicator Data (national)'!$B$5:$BB$14,51,FALSE)="No data","x",IF(VLOOKUP($B21,'Indicator Data (national)'!$B$5:$BB$14,51,FALSE)&gt;AF$150,0,IF(VLOOKUP($B21,'Indicator Data (national)'!$B$5:$BB$14,51,FALSE)&lt;AF$149,10,(AF$150-VLOOKUP($B21,'Indicator Data (national)'!$B$5:$BB$14,51,FALSE))/(AF$150-AF$149)*10)))</f>
        <v>2.4276028914781209</v>
      </c>
      <c r="AG21" s="2">
        <f>IF(VLOOKUP($B21,'Indicator Data (national)'!$B$5:$BB$14,52,FALSE)="No data","x",IF(VLOOKUP($B21,'Indicator Data (national)'!$B$5:$BB$14,52,FALSE)&gt;AG$150,0,IF(VLOOKUP($B21,'Indicator Data (national)'!$B$5:$BB$14,52,FALSE)&lt;AG$149,10,(AG$150-VLOOKUP($B21,'Indicator Data (national)'!$B$5:$BB$14,52,FALSE))/(AG$150-AG$149)*10)))</f>
        <v>8.8495401999999999</v>
      </c>
      <c r="AH21" s="2">
        <f>IF(VLOOKUP($B21,'Indicator Data (national)'!$B$5:$BB$14,53,FALSE)="No data","x",IF(VLOOKUP($B21,'Indicator Data (national)'!$B$5:$BB$14,53,FALSE)&gt;AH$150,0,IF(VLOOKUP($B21,'Indicator Data (national)'!$B$5:$BB$14,53,FALSE)&lt;AH$149,10,(AH$150-VLOOKUP($B21,'Indicator Data (national)'!$B$5:$BB$14,53,FALSE))/(AH$150-AH$149)*10)))</f>
        <v>5.1047627142873715</v>
      </c>
      <c r="AI21" s="3">
        <f t="shared" si="14"/>
        <v>5.4606352685884971</v>
      </c>
      <c r="AJ21" s="5">
        <f t="shared" si="2"/>
        <v>7.5708344180104055</v>
      </c>
    </row>
    <row r="22" spans="1:36" s="11" customFormat="1" x14ac:dyDescent="0.25">
      <c r="A22" s="16" t="s">
        <v>362</v>
      </c>
      <c r="B22" s="11" t="s">
        <v>573</v>
      </c>
      <c r="C22" s="16" t="s">
        <v>367</v>
      </c>
      <c r="D22" s="120">
        <f>(VLOOKUP($B22,'Indicator Data (national)'!$B$5:$AP$14,39,FALSE)+VLOOKUP($B22,'Indicator Data (national)'!$B$5:$AP$14,40,FALSE)+VLOOKUP($B22,'Indicator Data (national)'!$B$5:$AP$14,41,FALSE))/VLOOKUP($B22,'Indicator Data (national)'!$B$5:$AP$14,38,FALSE)*1000000</f>
        <v>3.2419478264057222</v>
      </c>
      <c r="E22" s="2">
        <f t="shared" si="3"/>
        <v>0</v>
      </c>
      <c r="F22" s="3">
        <f t="shared" si="4"/>
        <v>0</v>
      </c>
      <c r="G22" s="2">
        <f>IF(VLOOKUP($B22,'Indicator Data (national)'!$B$5:$AQ$14,30,FALSE)="No data","x",IF(VLOOKUP($B22,'Indicator Data (national)'!$B$5:$AQ$14,30,FALSE)&gt;G$150,10,IF(VLOOKUP($B22,'Indicator Data (national)'!$B$5:$AQ$14,30,FALSE)&lt;G$149,0,(G$150-VLOOKUP($B22,'Indicator Data (national)'!$B$5:$AQ$14,30,FALSE))/(G$150-G$149)*10)))</f>
        <v>6.6000000000000005</v>
      </c>
      <c r="H22" s="2">
        <f>IF(VLOOKUP($B22,'Indicator Data (national)'!$B$5:$AQ$14,29,FALSE)="No data","x",IF(VLOOKUP($B22,'Indicator Data (national)'!$B$5:$AQ$14,29,FALSE)&gt;H$150,10,IF(VLOOKUP($B22,'Indicator Data (national)'!$B$5:$AQ$14,29,FALSE)&lt;H$149,0,(H$150-VLOOKUP($B22,'Indicator Data (national)'!$B$5:$AQ$14,29,FALSE))/(H$150-H$149)*10)))</f>
        <v>7.369121789932251</v>
      </c>
      <c r="I22" s="3">
        <f t="shared" si="5"/>
        <v>6.9845608949661262</v>
      </c>
      <c r="J22" s="5">
        <f t="shared" si="6"/>
        <v>3.4922804474830631</v>
      </c>
      <c r="K22" s="2">
        <f>IF(VLOOKUP($B22,'Indicator Data (national)'!$B$5:$AQ$14,33,FALSE)="No data","x",IF(VLOOKUP($B22,'Indicator Data (national)'!$B$5:$AQ$14,33,FALSE)&gt;K$150,10,IF(VLOOKUP($B22,'Indicator Data (national)'!$B$5:$AQ$14,33,FALSE)&lt;K$149,0,(K$150-VLOOKUP($B22,'Indicator Data (national)'!$B$5:$AQ$14,33,FALSE))/(K$150-K$149)*10)))</f>
        <v>8.1000000000000014</v>
      </c>
      <c r="L22" s="2">
        <f>IF(VLOOKUP($B22,'Indicator Data (national)'!$B$5:$AQ$14,34,FALSE)="No data","x",IF(VLOOKUP($B22,'Indicator Data (national)'!$B$5:$AQ$14,34,FALSE)&gt;L$150,10,IF(VLOOKUP($B22,'Indicator Data (national)'!$B$5:$AQ$14,34,FALSE)&lt;L$149,0,(L$150-VLOOKUP($B22,'Indicator Data (national)'!$B$5:$AQ$14,34,FALSE))/(L$150-L$149)*10)))</f>
        <v>7.2034133242910103</v>
      </c>
      <c r="M22" s="3">
        <f t="shared" si="7"/>
        <v>7.6517066621455054</v>
      </c>
      <c r="N22" s="2">
        <f>IF(VLOOKUP($B22,'Indicator Data (national)'!$B$5:$AS$14,44,FALSE)="No data","x",IF(VLOOKUP($B22,'Indicator Data (national)'!$B$5:$AS$14,44,FALSE)&gt;N$150,10,IF(VLOOKUP($B22,'Indicator Data (national)'!$B$5:$AS$14,44,FALSE)&lt;N$149,0,10-(N$150-VLOOKUP($B22,'Indicator Data (national)'!$B$5:$AS$14,44,FALSE))/(N$150-N$149)*10)))</f>
        <v>0.85555555555555607</v>
      </c>
      <c r="O22" s="2">
        <f>IF(VLOOKUP($B22,'Indicator Data (national)'!$B$5:$AS$14,42,FALSE)="No data","x",IF(VLOOKUP($B22,'Indicator Data (national)'!$B$5:$AS$14,42,FALSE)&gt;O$150,0,IF(VLOOKUP($B22,'Indicator Data (national)'!$B$5:$AS$14,42,FALSE)&lt;O$149,10,(O$150-VLOOKUP($B22,'Indicator Data (national)'!$B$5:$AS$14,42,FALSE))/(O$150-O$149)*10)))</f>
        <v>9.1275167744966446</v>
      </c>
      <c r="P22" s="158">
        <f t="shared" si="8"/>
        <v>4.9915361650261003</v>
      </c>
      <c r="Q22" s="2">
        <f>IF(VLOOKUP($B22,'Indicator Data (national)'!$B$5:$Q$14,16,FALSE)="No data","x",IF(VLOOKUP($B22,'Indicator Data (national)'!$B$5:$Q$14,16,FALSE)&gt;Q$150,0,IF(VLOOKUP($B22,'Indicator Data (national)'!$B$5:$Q$14,16,FALSE)&lt;Q$149,10,(Q$150-VLOOKUP($B22,'Indicator Data (national)'!$B$5:$Q$14,16,FALSE))/(Q$150-Q$149)*10)))</f>
        <v>7.7</v>
      </c>
      <c r="R22" s="158">
        <f t="shared" si="9"/>
        <v>7.7</v>
      </c>
      <c r="S22" s="3">
        <f t="shared" si="0"/>
        <v>6.3457680825130502</v>
      </c>
      <c r="T22" s="2" t="str">
        <f>IF(VLOOKUP($B22,'Indicator Data (national)'!$B$5:$BC$14,43,FALSE)="No data","x",IF(VLOOKUP($B22,'Indicator Data (national)'!$B$5:$BC$14,43,FALSE)&gt;T$150,10,IF(VLOOKUP($B22,'Indicator Data (national)'!$B$5:$BC$14,43,FALSE)&lt;T$149,0,(T$150-VLOOKUP($B22,'Indicator Data (national)'!$B$5:$BC$14,43,FALSE))/(T$150-T$149)*10)))</f>
        <v>x</v>
      </c>
      <c r="U22" s="3" t="str">
        <f t="shared" si="10"/>
        <v>x</v>
      </c>
      <c r="V22" s="5">
        <f t="shared" si="1"/>
        <v>6.9987373723292778</v>
      </c>
      <c r="W22" s="2">
        <f>IF(VLOOKUP($B22,'Indicator Data (national)'!$B$5:$AS$14,37,FALSE)="No data","x",IF(VLOOKUP($B22,'Indicator Data (national)'!$B$5:$AS$14,37,FALSE)&gt;W$150,10,IF(VLOOKUP($B22,'Indicator Data (national)'!$B$5:$AS$14,37,FALSE)&lt;W$149,0,(LOG(W$150)-LOG(VLOOKUP($B22,'Indicator Data (national)'!$B$5:$AS$14,37,FALSE)))/(LOG(W$150)-LOG(W$149))*10)))</f>
        <v>6.8584484007726045</v>
      </c>
      <c r="X22" s="2">
        <f>IF(VLOOKUP($B22,'Indicator Data (national)'!$B$5:$BB$14,45,FALSE)="No data","x",IF(VLOOKUP($B22,'Indicator Data (national)'!$B$5:$BB$14,45,FALSE)&gt;X$150,10,IF(VLOOKUP($B22,'Indicator Data (national)'!$B$5:$BB$14,45,FALSE)&lt;X$149,0,10-(X$150-VLOOKUP($B22,'Indicator Data (national)'!$B$5:$BB$14,45,FALSE))/(X$150-X$149)*10)))</f>
        <v>9.5555555555555554</v>
      </c>
      <c r="Y22" s="2">
        <f>IF(VLOOKUP($B22,'Indicator Data (national)'!$B$5:$BB$14,46,FALSE)="No data","x",IF(VLOOKUP($B22,'Indicator Data (national)'!$B$5:$BB$14,46,FALSE)&gt;Y$150,10,IF(VLOOKUP($B22,'Indicator Data (national)'!$B$5:$BB$14,46,FALSE)&lt;Y$149,0,(Y$150-VLOOKUP($B22,'Indicator Data (national)'!$B$5:$BB$14,46,FALSE))/(Y$150-Y$149)*10)))</f>
        <v>7</v>
      </c>
      <c r="Z22" s="156" t="str">
        <f>IF(VLOOKUP($B22,'Indicator Data (national)'!$B$5:$BB$14,48,FALSE)="No data","x",VLOOKUP($B22,'Indicator Data (national)'!$B$5:$BB$14,47,FALSE)*VLOOKUP($B22,'Indicator Data (national)'!$B$5:$BB$14,48,FALSE))</f>
        <v>x</v>
      </c>
      <c r="AA22" s="2" t="str">
        <f t="shared" si="11"/>
        <v>x</v>
      </c>
      <c r="AB22" s="3">
        <f t="shared" si="12"/>
        <v>7.8046679854427206</v>
      </c>
      <c r="AC22" s="2">
        <f>IF(VLOOKUP($B22,'Indicator Data (national)'!$B$5:$BB$14,49,FALSE)="No data","x",IF(VLOOKUP($B22,'Indicator Data (national)'!$B$5:$BB$14,49,FALSE)&gt;AC$150,0,IF(VLOOKUP($B22,'Indicator Data (national)'!$B$5:$BB$14,49,FALSE)&lt;AC$149,10,(AC$150-VLOOKUP($B22,'Indicator Data (national)'!$B$5:$BB$14,49,FALSE))/(AC$150-AC$149)*10)))</f>
        <v>9.532</v>
      </c>
      <c r="AD22" s="2">
        <f>IF(VLOOKUP($B22,'Indicator Data (national)'!$B$5:$BB$14,50,FALSE)="No data","x",IF(VLOOKUP($B22,'Indicator Data (national)'!$B$5:$BB$14,50,FALSE)&gt;AD$150,0,IF(VLOOKUP($B22,'Indicator Data (national)'!$B$5:$BB$14,50,FALSE)&lt;AD$149,10,(AD$150-VLOOKUP($B22,'Indicator Data (national)'!$B$5:$BB$14,50,FALSE))/(AD$150-AD$149)*10)))</f>
        <v>9.3623999999999992</v>
      </c>
      <c r="AE22" s="3">
        <f t="shared" si="13"/>
        <v>9.4471999999999987</v>
      </c>
      <c r="AF22" s="2">
        <f>IF(VLOOKUP($B22,'Indicator Data (national)'!$B$5:$BB$14,51,FALSE)="No data","x",IF(VLOOKUP($B22,'Indicator Data (national)'!$B$5:$BB$14,51,FALSE)&gt;AF$150,0,IF(VLOOKUP($B22,'Indicator Data (national)'!$B$5:$BB$14,51,FALSE)&lt;AF$149,10,(AF$150-VLOOKUP($B22,'Indicator Data (national)'!$B$5:$BB$14,51,FALSE))/(AF$150-AF$149)*10)))</f>
        <v>2.4276028914781209</v>
      </c>
      <c r="AG22" s="2">
        <f>IF(VLOOKUP($B22,'Indicator Data (national)'!$B$5:$BB$14,52,FALSE)="No data","x",IF(VLOOKUP($B22,'Indicator Data (national)'!$B$5:$BB$14,52,FALSE)&gt;AG$150,0,IF(VLOOKUP($B22,'Indicator Data (national)'!$B$5:$BB$14,52,FALSE)&lt;AG$149,10,(AG$150-VLOOKUP($B22,'Indicator Data (national)'!$B$5:$BB$14,52,FALSE))/(AG$150-AG$149)*10)))</f>
        <v>8.8495401999999999</v>
      </c>
      <c r="AH22" s="2">
        <f>IF(VLOOKUP($B22,'Indicator Data (national)'!$B$5:$BB$14,53,FALSE)="No data","x",IF(VLOOKUP($B22,'Indicator Data (national)'!$B$5:$BB$14,53,FALSE)&gt;AH$150,0,IF(VLOOKUP($B22,'Indicator Data (national)'!$B$5:$BB$14,53,FALSE)&lt;AH$149,10,(AH$150-VLOOKUP($B22,'Indicator Data (national)'!$B$5:$BB$14,53,FALSE))/(AH$150-AH$149)*10)))</f>
        <v>5.1047627142873715</v>
      </c>
      <c r="AI22" s="3">
        <f t="shared" si="14"/>
        <v>5.4606352685884971</v>
      </c>
      <c r="AJ22" s="5">
        <f t="shared" si="2"/>
        <v>7.5708344180104055</v>
      </c>
    </row>
    <row r="23" spans="1:36" s="11" customFormat="1" x14ac:dyDescent="0.25">
      <c r="A23" s="16" t="s">
        <v>368</v>
      </c>
      <c r="B23" s="11" t="s">
        <v>573</v>
      </c>
      <c r="C23" s="16" t="s">
        <v>369</v>
      </c>
      <c r="D23" s="120">
        <f>(VLOOKUP($B23,'Indicator Data (national)'!$B$5:$AP$14,39,FALSE)+VLOOKUP($B23,'Indicator Data (national)'!$B$5:$AP$14,40,FALSE)+VLOOKUP($B23,'Indicator Data (national)'!$B$5:$AP$14,41,FALSE))/VLOOKUP($B23,'Indicator Data (national)'!$B$5:$AP$14,38,FALSE)*1000000</f>
        <v>3.2419478264057222</v>
      </c>
      <c r="E23" s="2">
        <f t="shared" si="3"/>
        <v>0</v>
      </c>
      <c r="F23" s="3">
        <f t="shared" si="4"/>
        <v>0</v>
      </c>
      <c r="G23" s="2">
        <f>IF(VLOOKUP($B23,'Indicator Data (national)'!$B$5:$AQ$14,30,FALSE)="No data","x",IF(VLOOKUP($B23,'Indicator Data (national)'!$B$5:$AQ$14,30,FALSE)&gt;G$150,10,IF(VLOOKUP($B23,'Indicator Data (national)'!$B$5:$AQ$14,30,FALSE)&lt;G$149,0,(G$150-VLOOKUP($B23,'Indicator Data (national)'!$B$5:$AQ$14,30,FALSE))/(G$150-G$149)*10)))</f>
        <v>6.6000000000000005</v>
      </c>
      <c r="H23" s="2">
        <f>IF(VLOOKUP($B23,'Indicator Data (national)'!$B$5:$AQ$14,29,FALSE)="No data","x",IF(VLOOKUP($B23,'Indicator Data (national)'!$B$5:$AQ$14,29,FALSE)&gt;H$150,10,IF(VLOOKUP($B23,'Indicator Data (national)'!$B$5:$AQ$14,29,FALSE)&lt;H$149,0,(H$150-VLOOKUP($B23,'Indicator Data (national)'!$B$5:$AQ$14,29,FALSE))/(H$150-H$149)*10)))</f>
        <v>7.369121789932251</v>
      </c>
      <c r="I23" s="3">
        <f t="shared" si="5"/>
        <v>6.9845608949661262</v>
      </c>
      <c r="J23" s="5">
        <f t="shared" si="6"/>
        <v>3.4922804474830631</v>
      </c>
      <c r="K23" s="2">
        <f>IF(VLOOKUP($B23,'Indicator Data (national)'!$B$5:$AQ$14,33,FALSE)="No data","x",IF(VLOOKUP($B23,'Indicator Data (national)'!$B$5:$AQ$14,33,FALSE)&gt;K$150,10,IF(VLOOKUP($B23,'Indicator Data (national)'!$B$5:$AQ$14,33,FALSE)&lt;K$149,0,(K$150-VLOOKUP($B23,'Indicator Data (national)'!$B$5:$AQ$14,33,FALSE))/(K$150-K$149)*10)))</f>
        <v>8.1000000000000014</v>
      </c>
      <c r="L23" s="2">
        <f>IF(VLOOKUP($B23,'Indicator Data (national)'!$B$5:$AQ$14,34,FALSE)="No data","x",IF(VLOOKUP($B23,'Indicator Data (national)'!$B$5:$AQ$14,34,FALSE)&gt;L$150,10,IF(VLOOKUP($B23,'Indicator Data (national)'!$B$5:$AQ$14,34,FALSE)&lt;L$149,0,(L$150-VLOOKUP($B23,'Indicator Data (national)'!$B$5:$AQ$14,34,FALSE))/(L$150-L$149)*10)))</f>
        <v>7.2034133242910103</v>
      </c>
      <c r="M23" s="3">
        <f t="shared" si="7"/>
        <v>7.6517066621455054</v>
      </c>
      <c r="N23" s="2">
        <f>IF(VLOOKUP($B23,'Indicator Data (national)'!$B$5:$AS$14,44,FALSE)="No data","x",IF(VLOOKUP($B23,'Indicator Data (national)'!$B$5:$AS$14,44,FALSE)&gt;N$150,10,IF(VLOOKUP($B23,'Indicator Data (national)'!$B$5:$AS$14,44,FALSE)&lt;N$149,0,10-(N$150-VLOOKUP($B23,'Indicator Data (national)'!$B$5:$AS$14,44,FALSE))/(N$150-N$149)*10)))</f>
        <v>0.85555555555555607</v>
      </c>
      <c r="O23" s="2">
        <f>IF(VLOOKUP($B23,'Indicator Data (national)'!$B$5:$AS$14,42,FALSE)="No data","x",IF(VLOOKUP($B23,'Indicator Data (national)'!$B$5:$AS$14,42,FALSE)&gt;O$150,0,IF(VLOOKUP($B23,'Indicator Data (national)'!$B$5:$AS$14,42,FALSE)&lt;O$149,10,(O$150-VLOOKUP($B23,'Indicator Data (national)'!$B$5:$AS$14,42,FALSE))/(O$150-O$149)*10)))</f>
        <v>9.1275167744966446</v>
      </c>
      <c r="P23" s="158">
        <f t="shared" si="8"/>
        <v>4.9915361650261003</v>
      </c>
      <c r="Q23" s="2">
        <f>IF(VLOOKUP($B23,'Indicator Data (national)'!$B$5:$Q$14,16,FALSE)="No data","x",IF(VLOOKUP($B23,'Indicator Data (national)'!$B$5:$Q$14,16,FALSE)&gt;Q$150,0,IF(VLOOKUP($B23,'Indicator Data (national)'!$B$5:$Q$14,16,FALSE)&lt;Q$149,10,(Q$150-VLOOKUP($B23,'Indicator Data (national)'!$B$5:$Q$14,16,FALSE))/(Q$150-Q$149)*10)))</f>
        <v>7.7</v>
      </c>
      <c r="R23" s="158">
        <f t="shared" si="9"/>
        <v>7.7</v>
      </c>
      <c r="S23" s="3">
        <f t="shared" si="0"/>
        <v>6.3457680825130502</v>
      </c>
      <c r="T23" s="2" t="str">
        <f>IF(VLOOKUP($B23,'Indicator Data (national)'!$B$5:$BC$14,43,FALSE)="No data","x",IF(VLOOKUP($B23,'Indicator Data (national)'!$B$5:$BC$14,43,FALSE)&gt;T$150,10,IF(VLOOKUP($B23,'Indicator Data (national)'!$B$5:$BC$14,43,FALSE)&lt;T$149,0,(T$150-VLOOKUP($B23,'Indicator Data (national)'!$B$5:$BC$14,43,FALSE))/(T$150-T$149)*10)))</f>
        <v>x</v>
      </c>
      <c r="U23" s="3" t="str">
        <f t="shared" si="10"/>
        <v>x</v>
      </c>
      <c r="V23" s="5">
        <f t="shared" si="1"/>
        <v>6.9987373723292778</v>
      </c>
      <c r="W23" s="2">
        <f>IF(VLOOKUP($B23,'Indicator Data (national)'!$B$5:$AS$14,37,FALSE)="No data","x",IF(VLOOKUP($B23,'Indicator Data (national)'!$B$5:$AS$14,37,FALSE)&gt;W$150,10,IF(VLOOKUP($B23,'Indicator Data (national)'!$B$5:$AS$14,37,FALSE)&lt;W$149,0,(LOG(W$150)-LOG(VLOOKUP($B23,'Indicator Data (national)'!$B$5:$AS$14,37,FALSE)))/(LOG(W$150)-LOG(W$149))*10)))</f>
        <v>6.8584484007726045</v>
      </c>
      <c r="X23" s="2">
        <f>IF(VLOOKUP($B23,'Indicator Data (national)'!$B$5:$BB$14,45,FALSE)="No data","x",IF(VLOOKUP($B23,'Indicator Data (national)'!$B$5:$BB$14,45,FALSE)&gt;X$150,10,IF(VLOOKUP($B23,'Indicator Data (national)'!$B$5:$BB$14,45,FALSE)&lt;X$149,0,10-(X$150-VLOOKUP($B23,'Indicator Data (national)'!$B$5:$BB$14,45,FALSE))/(X$150-X$149)*10)))</f>
        <v>9.5555555555555554</v>
      </c>
      <c r="Y23" s="2">
        <f>IF(VLOOKUP($B23,'Indicator Data (national)'!$B$5:$BB$14,46,FALSE)="No data","x",IF(VLOOKUP($B23,'Indicator Data (national)'!$B$5:$BB$14,46,FALSE)&gt;Y$150,10,IF(VLOOKUP($B23,'Indicator Data (national)'!$B$5:$BB$14,46,FALSE)&lt;Y$149,0,(Y$150-VLOOKUP($B23,'Indicator Data (national)'!$B$5:$BB$14,46,FALSE))/(Y$150-Y$149)*10)))</f>
        <v>7</v>
      </c>
      <c r="Z23" s="156" t="str">
        <f>IF(VLOOKUP($B23,'Indicator Data (national)'!$B$5:$BB$14,48,FALSE)="No data","x",VLOOKUP($B23,'Indicator Data (national)'!$B$5:$BB$14,47,FALSE)*VLOOKUP($B23,'Indicator Data (national)'!$B$5:$BB$14,48,FALSE))</f>
        <v>x</v>
      </c>
      <c r="AA23" s="2" t="str">
        <f t="shared" si="11"/>
        <v>x</v>
      </c>
      <c r="AB23" s="3">
        <f t="shared" si="12"/>
        <v>7.8046679854427206</v>
      </c>
      <c r="AC23" s="2">
        <f>IF(VLOOKUP($B23,'Indicator Data (national)'!$B$5:$BB$14,49,FALSE)="No data","x",IF(VLOOKUP($B23,'Indicator Data (national)'!$B$5:$BB$14,49,FALSE)&gt;AC$150,0,IF(VLOOKUP($B23,'Indicator Data (national)'!$B$5:$BB$14,49,FALSE)&lt;AC$149,10,(AC$150-VLOOKUP($B23,'Indicator Data (national)'!$B$5:$BB$14,49,FALSE))/(AC$150-AC$149)*10)))</f>
        <v>9.532</v>
      </c>
      <c r="AD23" s="2">
        <f>IF(VLOOKUP($B23,'Indicator Data (national)'!$B$5:$BB$14,50,FALSE)="No data","x",IF(VLOOKUP($B23,'Indicator Data (national)'!$B$5:$BB$14,50,FALSE)&gt;AD$150,0,IF(VLOOKUP($B23,'Indicator Data (national)'!$B$5:$BB$14,50,FALSE)&lt;AD$149,10,(AD$150-VLOOKUP($B23,'Indicator Data (national)'!$B$5:$BB$14,50,FALSE))/(AD$150-AD$149)*10)))</f>
        <v>9.3623999999999992</v>
      </c>
      <c r="AE23" s="3">
        <f t="shared" si="13"/>
        <v>9.4471999999999987</v>
      </c>
      <c r="AF23" s="2">
        <f>IF(VLOOKUP($B23,'Indicator Data (national)'!$B$5:$BB$14,51,FALSE)="No data","x",IF(VLOOKUP($B23,'Indicator Data (national)'!$B$5:$BB$14,51,FALSE)&gt;AF$150,0,IF(VLOOKUP($B23,'Indicator Data (national)'!$B$5:$BB$14,51,FALSE)&lt;AF$149,10,(AF$150-VLOOKUP($B23,'Indicator Data (national)'!$B$5:$BB$14,51,FALSE))/(AF$150-AF$149)*10)))</f>
        <v>2.4276028914781209</v>
      </c>
      <c r="AG23" s="2">
        <f>IF(VLOOKUP($B23,'Indicator Data (national)'!$B$5:$BB$14,52,FALSE)="No data","x",IF(VLOOKUP($B23,'Indicator Data (national)'!$B$5:$BB$14,52,FALSE)&gt;AG$150,0,IF(VLOOKUP($B23,'Indicator Data (national)'!$B$5:$BB$14,52,FALSE)&lt;AG$149,10,(AG$150-VLOOKUP($B23,'Indicator Data (national)'!$B$5:$BB$14,52,FALSE))/(AG$150-AG$149)*10)))</f>
        <v>8.8495401999999999</v>
      </c>
      <c r="AH23" s="2">
        <f>IF(VLOOKUP($B23,'Indicator Data (national)'!$B$5:$BB$14,53,FALSE)="No data","x",IF(VLOOKUP($B23,'Indicator Data (national)'!$B$5:$BB$14,53,FALSE)&gt;AH$150,0,IF(VLOOKUP($B23,'Indicator Data (national)'!$B$5:$BB$14,53,FALSE)&lt;AH$149,10,(AH$150-VLOOKUP($B23,'Indicator Data (national)'!$B$5:$BB$14,53,FALSE))/(AH$150-AH$149)*10)))</f>
        <v>5.1047627142873715</v>
      </c>
      <c r="AI23" s="3">
        <f t="shared" si="14"/>
        <v>5.4606352685884971</v>
      </c>
      <c r="AJ23" s="5">
        <f t="shared" si="2"/>
        <v>7.5708344180104055</v>
      </c>
    </row>
    <row r="24" spans="1:36" s="11" customFormat="1" x14ac:dyDescent="0.25">
      <c r="A24" s="16" t="s">
        <v>370</v>
      </c>
      <c r="B24" s="11" t="s">
        <v>573</v>
      </c>
      <c r="C24" s="16" t="s">
        <v>371</v>
      </c>
      <c r="D24" s="120">
        <f>(VLOOKUP($B24,'Indicator Data (national)'!$B$5:$AP$14,39,FALSE)+VLOOKUP($B24,'Indicator Data (national)'!$B$5:$AP$14,40,FALSE)+VLOOKUP($B24,'Indicator Data (national)'!$B$5:$AP$14,41,FALSE))/VLOOKUP($B24,'Indicator Data (national)'!$B$5:$AP$14,38,FALSE)*1000000</f>
        <v>3.2419478264057222</v>
      </c>
      <c r="E24" s="2">
        <f t="shared" si="3"/>
        <v>0</v>
      </c>
      <c r="F24" s="3">
        <f t="shared" si="4"/>
        <v>0</v>
      </c>
      <c r="G24" s="2">
        <f>IF(VLOOKUP($B24,'Indicator Data (national)'!$B$5:$AQ$14,30,FALSE)="No data","x",IF(VLOOKUP($B24,'Indicator Data (national)'!$B$5:$AQ$14,30,FALSE)&gt;G$150,10,IF(VLOOKUP($B24,'Indicator Data (national)'!$B$5:$AQ$14,30,FALSE)&lt;G$149,0,(G$150-VLOOKUP($B24,'Indicator Data (national)'!$B$5:$AQ$14,30,FALSE))/(G$150-G$149)*10)))</f>
        <v>6.6000000000000005</v>
      </c>
      <c r="H24" s="2">
        <f>IF(VLOOKUP($B24,'Indicator Data (national)'!$B$5:$AQ$14,29,FALSE)="No data","x",IF(VLOOKUP($B24,'Indicator Data (national)'!$B$5:$AQ$14,29,FALSE)&gt;H$150,10,IF(VLOOKUP($B24,'Indicator Data (national)'!$B$5:$AQ$14,29,FALSE)&lt;H$149,0,(H$150-VLOOKUP($B24,'Indicator Data (national)'!$B$5:$AQ$14,29,FALSE))/(H$150-H$149)*10)))</f>
        <v>7.369121789932251</v>
      </c>
      <c r="I24" s="3">
        <f t="shared" si="5"/>
        <v>6.9845608949661262</v>
      </c>
      <c r="J24" s="5">
        <f t="shared" si="6"/>
        <v>3.4922804474830631</v>
      </c>
      <c r="K24" s="2">
        <f>IF(VLOOKUP($B24,'Indicator Data (national)'!$B$5:$AQ$14,33,FALSE)="No data","x",IF(VLOOKUP($B24,'Indicator Data (national)'!$B$5:$AQ$14,33,FALSE)&gt;K$150,10,IF(VLOOKUP($B24,'Indicator Data (national)'!$B$5:$AQ$14,33,FALSE)&lt;K$149,0,(K$150-VLOOKUP($B24,'Indicator Data (national)'!$B$5:$AQ$14,33,FALSE))/(K$150-K$149)*10)))</f>
        <v>8.1000000000000014</v>
      </c>
      <c r="L24" s="2">
        <f>IF(VLOOKUP($B24,'Indicator Data (national)'!$B$5:$AQ$14,34,FALSE)="No data","x",IF(VLOOKUP($B24,'Indicator Data (national)'!$B$5:$AQ$14,34,FALSE)&gt;L$150,10,IF(VLOOKUP($B24,'Indicator Data (national)'!$B$5:$AQ$14,34,FALSE)&lt;L$149,0,(L$150-VLOOKUP($B24,'Indicator Data (national)'!$B$5:$AQ$14,34,FALSE))/(L$150-L$149)*10)))</f>
        <v>7.2034133242910103</v>
      </c>
      <c r="M24" s="3">
        <f t="shared" si="7"/>
        <v>7.6517066621455054</v>
      </c>
      <c r="N24" s="2">
        <f>IF(VLOOKUP($B24,'Indicator Data (national)'!$B$5:$AS$14,44,FALSE)="No data","x",IF(VLOOKUP($B24,'Indicator Data (national)'!$B$5:$AS$14,44,FALSE)&gt;N$150,10,IF(VLOOKUP($B24,'Indicator Data (national)'!$B$5:$AS$14,44,FALSE)&lt;N$149,0,10-(N$150-VLOOKUP($B24,'Indicator Data (national)'!$B$5:$AS$14,44,FALSE))/(N$150-N$149)*10)))</f>
        <v>0.85555555555555607</v>
      </c>
      <c r="O24" s="2">
        <f>IF(VLOOKUP($B24,'Indicator Data (national)'!$B$5:$AS$14,42,FALSE)="No data","x",IF(VLOOKUP($B24,'Indicator Data (national)'!$B$5:$AS$14,42,FALSE)&gt;O$150,0,IF(VLOOKUP($B24,'Indicator Data (national)'!$B$5:$AS$14,42,FALSE)&lt;O$149,10,(O$150-VLOOKUP($B24,'Indicator Data (national)'!$B$5:$AS$14,42,FALSE))/(O$150-O$149)*10)))</f>
        <v>9.1275167744966446</v>
      </c>
      <c r="P24" s="158">
        <f t="shared" si="8"/>
        <v>4.9915361650261003</v>
      </c>
      <c r="Q24" s="2">
        <f>IF(VLOOKUP($B24,'Indicator Data (national)'!$B$5:$Q$14,16,FALSE)="No data","x",IF(VLOOKUP($B24,'Indicator Data (national)'!$B$5:$Q$14,16,FALSE)&gt;Q$150,0,IF(VLOOKUP($B24,'Indicator Data (national)'!$B$5:$Q$14,16,FALSE)&lt;Q$149,10,(Q$150-VLOOKUP($B24,'Indicator Data (national)'!$B$5:$Q$14,16,FALSE))/(Q$150-Q$149)*10)))</f>
        <v>7.7</v>
      </c>
      <c r="R24" s="158">
        <f t="shared" si="9"/>
        <v>7.7</v>
      </c>
      <c r="S24" s="3">
        <f t="shared" si="0"/>
        <v>6.3457680825130502</v>
      </c>
      <c r="T24" s="2" t="str">
        <f>IF(VLOOKUP($B24,'Indicator Data (national)'!$B$5:$BC$14,43,FALSE)="No data","x",IF(VLOOKUP($B24,'Indicator Data (national)'!$B$5:$BC$14,43,FALSE)&gt;T$150,10,IF(VLOOKUP($B24,'Indicator Data (national)'!$B$5:$BC$14,43,FALSE)&lt;T$149,0,(T$150-VLOOKUP($B24,'Indicator Data (national)'!$B$5:$BC$14,43,FALSE))/(T$150-T$149)*10)))</f>
        <v>x</v>
      </c>
      <c r="U24" s="3" t="str">
        <f t="shared" si="10"/>
        <v>x</v>
      </c>
      <c r="V24" s="5">
        <f t="shared" si="1"/>
        <v>6.9987373723292778</v>
      </c>
      <c r="W24" s="2">
        <f>IF(VLOOKUP($B24,'Indicator Data (national)'!$B$5:$AS$14,37,FALSE)="No data","x",IF(VLOOKUP($B24,'Indicator Data (national)'!$B$5:$AS$14,37,FALSE)&gt;W$150,10,IF(VLOOKUP($B24,'Indicator Data (national)'!$B$5:$AS$14,37,FALSE)&lt;W$149,0,(LOG(W$150)-LOG(VLOOKUP($B24,'Indicator Data (national)'!$B$5:$AS$14,37,FALSE)))/(LOG(W$150)-LOG(W$149))*10)))</f>
        <v>6.8584484007726045</v>
      </c>
      <c r="X24" s="2">
        <f>IF(VLOOKUP($B24,'Indicator Data (national)'!$B$5:$BB$14,45,FALSE)="No data","x",IF(VLOOKUP($B24,'Indicator Data (national)'!$B$5:$BB$14,45,FALSE)&gt;X$150,10,IF(VLOOKUP($B24,'Indicator Data (national)'!$B$5:$BB$14,45,FALSE)&lt;X$149,0,10-(X$150-VLOOKUP($B24,'Indicator Data (national)'!$B$5:$BB$14,45,FALSE))/(X$150-X$149)*10)))</f>
        <v>9.5555555555555554</v>
      </c>
      <c r="Y24" s="2">
        <f>IF(VLOOKUP($B24,'Indicator Data (national)'!$B$5:$BB$14,46,FALSE)="No data","x",IF(VLOOKUP($B24,'Indicator Data (national)'!$B$5:$BB$14,46,FALSE)&gt;Y$150,10,IF(VLOOKUP($B24,'Indicator Data (national)'!$B$5:$BB$14,46,FALSE)&lt;Y$149,0,(Y$150-VLOOKUP($B24,'Indicator Data (national)'!$B$5:$BB$14,46,FALSE))/(Y$150-Y$149)*10)))</f>
        <v>7</v>
      </c>
      <c r="Z24" s="156" t="str">
        <f>IF(VLOOKUP($B24,'Indicator Data (national)'!$B$5:$BB$14,48,FALSE)="No data","x",VLOOKUP($B24,'Indicator Data (national)'!$B$5:$BB$14,47,FALSE)*VLOOKUP($B24,'Indicator Data (national)'!$B$5:$BB$14,48,FALSE))</f>
        <v>x</v>
      </c>
      <c r="AA24" s="2" t="str">
        <f t="shared" si="11"/>
        <v>x</v>
      </c>
      <c r="AB24" s="3">
        <f t="shared" si="12"/>
        <v>7.8046679854427206</v>
      </c>
      <c r="AC24" s="2">
        <f>IF(VLOOKUP($B24,'Indicator Data (national)'!$B$5:$BB$14,49,FALSE)="No data","x",IF(VLOOKUP($B24,'Indicator Data (national)'!$B$5:$BB$14,49,FALSE)&gt;AC$150,0,IF(VLOOKUP($B24,'Indicator Data (national)'!$B$5:$BB$14,49,FALSE)&lt;AC$149,10,(AC$150-VLOOKUP($B24,'Indicator Data (national)'!$B$5:$BB$14,49,FALSE))/(AC$150-AC$149)*10)))</f>
        <v>9.532</v>
      </c>
      <c r="AD24" s="2">
        <f>IF(VLOOKUP($B24,'Indicator Data (national)'!$B$5:$BB$14,50,FALSE)="No data","x",IF(VLOOKUP($B24,'Indicator Data (national)'!$B$5:$BB$14,50,FALSE)&gt;AD$150,0,IF(VLOOKUP($B24,'Indicator Data (national)'!$B$5:$BB$14,50,FALSE)&lt;AD$149,10,(AD$150-VLOOKUP($B24,'Indicator Data (national)'!$B$5:$BB$14,50,FALSE))/(AD$150-AD$149)*10)))</f>
        <v>9.3623999999999992</v>
      </c>
      <c r="AE24" s="3">
        <f t="shared" si="13"/>
        <v>9.4471999999999987</v>
      </c>
      <c r="AF24" s="2">
        <f>IF(VLOOKUP($B24,'Indicator Data (national)'!$B$5:$BB$14,51,FALSE)="No data","x",IF(VLOOKUP($B24,'Indicator Data (national)'!$B$5:$BB$14,51,FALSE)&gt;AF$150,0,IF(VLOOKUP($B24,'Indicator Data (national)'!$B$5:$BB$14,51,FALSE)&lt;AF$149,10,(AF$150-VLOOKUP($B24,'Indicator Data (national)'!$B$5:$BB$14,51,FALSE))/(AF$150-AF$149)*10)))</f>
        <v>2.4276028914781209</v>
      </c>
      <c r="AG24" s="2">
        <f>IF(VLOOKUP($B24,'Indicator Data (national)'!$B$5:$BB$14,52,FALSE)="No data","x",IF(VLOOKUP($B24,'Indicator Data (national)'!$B$5:$BB$14,52,FALSE)&gt;AG$150,0,IF(VLOOKUP($B24,'Indicator Data (national)'!$B$5:$BB$14,52,FALSE)&lt;AG$149,10,(AG$150-VLOOKUP($B24,'Indicator Data (national)'!$B$5:$BB$14,52,FALSE))/(AG$150-AG$149)*10)))</f>
        <v>8.8495401999999999</v>
      </c>
      <c r="AH24" s="2">
        <f>IF(VLOOKUP($B24,'Indicator Data (national)'!$B$5:$BB$14,53,FALSE)="No data","x",IF(VLOOKUP($B24,'Indicator Data (national)'!$B$5:$BB$14,53,FALSE)&gt;AH$150,0,IF(VLOOKUP($B24,'Indicator Data (national)'!$B$5:$BB$14,53,FALSE)&lt;AH$149,10,(AH$150-VLOOKUP($B24,'Indicator Data (national)'!$B$5:$BB$14,53,FALSE))/(AH$150-AH$149)*10)))</f>
        <v>5.1047627142873715</v>
      </c>
      <c r="AI24" s="3">
        <f t="shared" si="14"/>
        <v>5.4606352685884971</v>
      </c>
      <c r="AJ24" s="5">
        <f t="shared" si="2"/>
        <v>7.5708344180104055</v>
      </c>
    </row>
    <row r="25" spans="1:36" s="11" customFormat="1" x14ac:dyDescent="0.25">
      <c r="A25" s="16" t="s">
        <v>373</v>
      </c>
      <c r="B25" s="11" t="s">
        <v>574</v>
      </c>
      <c r="C25" s="16" t="s">
        <v>374</v>
      </c>
      <c r="D25" s="120">
        <f>(VLOOKUP($B25,'Indicator Data (national)'!$B$5:$AP$14,39,FALSE)+VLOOKUP($B25,'Indicator Data (national)'!$B$5:$AP$14,40,FALSE)+VLOOKUP($B25,'Indicator Data (national)'!$B$5:$AP$14,41,FALSE))/VLOOKUP($B25,'Indicator Data (national)'!$B$5:$AP$14,38,FALSE)*1000000</f>
        <v>8.8423821693363547E-2</v>
      </c>
      <c r="E25" s="2">
        <f t="shared" si="3"/>
        <v>9.5578808915331823</v>
      </c>
      <c r="F25" s="3">
        <f t="shared" si="4"/>
        <v>9.5578808915331823</v>
      </c>
      <c r="G25" s="2">
        <f>IF(VLOOKUP($B25,'Indicator Data (national)'!$B$5:$AQ$14,30,FALSE)="No data","x",IF(VLOOKUP($B25,'Indicator Data (national)'!$B$5:$AQ$14,30,FALSE)&gt;G$150,10,IF(VLOOKUP($B25,'Indicator Data (national)'!$B$5:$AQ$14,30,FALSE)&lt;G$149,0,(G$150-VLOOKUP($B25,'Indicator Data (national)'!$B$5:$AQ$14,30,FALSE))/(G$150-G$149)*10)))</f>
        <v>8.1999999999999993</v>
      </c>
      <c r="H25" s="2">
        <f>IF(VLOOKUP($B25,'Indicator Data (national)'!$B$5:$AQ$14,29,FALSE)="No data","x",IF(VLOOKUP($B25,'Indicator Data (national)'!$B$5:$AQ$14,29,FALSE)&gt;H$150,10,IF(VLOOKUP($B25,'Indicator Data (national)'!$B$5:$AQ$14,29,FALSE)&lt;H$149,0,(H$150-VLOOKUP($B25,'Indicator Data (national)'!$B$5:$AQ$14,29,FALSE))/(H$150-H$149)*10)))</f>
        <v>8.086789608001709</v>
      </c>
      <c r="I25" s="3">
        <f t="shared" si="5"/>
        <v>8.1433948040008541</v>
      </c>
      <c r="J25" s="5">
        <f t="shared" si="6"/>
        <v>8.8506378477670182</v>
      </c>
      <c r="K25" s="2">
        <f>IF(VLOOKUP($B25,'Indicator Data (national)'!$B$5:$AQ$14,33,FALSE)="No data","x",IF(VLOOKUP($B25,'Indicator Data (national)'!$B$5:$AQ$14,33,FALSE)&gt;K$150,10,IF(VLOOKUP($B25,'Indicator Data (national)'!$B$5:$AQ$14,33,FALSE)&lt;K$149,0,(K$150-VLOOKUP($B25,'Indicator Data (national)'!$B$5:$AQ$14,33,FALSE))/(K$150-K$149)*10)))</f>
        <v>9.82</v>
      </c>
      <c r="L25" s="2">
        <f>IF(VLOOKUP($B25,'Indicator Data (national)'!$B$5:$AQ$14,34,FALSE)="No data","x",IF(VLOOKUP($B25,'Indicator Data (national)'!$B$5:$AQ$14,34,FALSE)&gt;L$150,10,IF(VLOOKUP($B25,'Indicator Data (national)'!$B$5:$AQ$14,34,FALSE)&lt;L$149,0,(L$150-VLOOKUP($B25,'Indicator Data (national)'!$B$5:$AQ$14,34,FALSE))/(L$150-L$149)*10)))</f>
        <v>9.4397024538400025</v>
      </c>
      <c r="M25" s="3">
        <f t="shared" si="7"/>
        <v>9.6298512269200014</v>
      </c>
      <c r="N25" s="2">
        <f>IF(VLOOKUP($B25,'Indicator Data (national)'!$B$5:$AS$14,44,FALSE)="No data","x",IF(VLOOKUP($B25,'Indicator Data (national)'!$B$5:$AS$14,44,FALSE)&gt;N$150,10,IF(VLOOKUP($B25,'Indicator Data (national)'!$B$5:$AS$14,44,FALSE)&lt;N$149,0,10-(N$150-VLOOKUP($B25,'Indicator Data (national)'!$B$5:$AS$14,44,FALSE))/(N$150-N$149)*10)))</f>
        <v>2.1333333333333337</v>
      </c>
      <c r="O25" s="2">
        <f>IF(VLOOKUP($B25,'Indicator Data (national)'!$B$5:$AS$14,42,FALSE)="No data","x",IF(VLOOKUP($B25,'Indicator Data (national)'!$B$5:$AS$14,42,FALSE)&gt;O$150,0,IF(VLOOKUP($B25,'Indicator Data (national)'!$B$5:$AS$14,42,FALSE)&lt;O$149,10,(O$150-VLOOKUP($B25,'Indicator Data (national)'!$B$5:$AS$14,42,FALSE))/(O$150-O$149)*10)))</f>
        <v>9.8657718167785227</v>
      </c>
      <c r="P25" s="158">
        <f t="shared" si="8"/>
        <v>5.9995525750559278</v>
      </c>
      <c r="Q25" s="2" t="str">
        <f>IF(VLOOKUP($B25,'Indicator Data (national)'!$B$5:$Q$14,16,FALSE)="No data","x",IF(VLOOKUP($B25,'Indicator Data (national)'!$B$5:$Q$14,16,FALSE)&gt;Q$150,0,IF(VLOOKUP($B25,'Indicator Data (national)'!$B$5:$Q$14,16,FALSE)&lt;Q$149,10,(Q$150-VLOOKUP($B25,'Indicator Data (national)'!$B$5:$Q$14,16,FALSE))/(Q$150-Q$149)*10)))</f>
        <v>x</v>
      </c>
      <c r="R25" s="158" t="str">
        <f t="shared" si="9"/>
        <v>x</v>
      </c>
      <c r="S25" s="3">
        <f t="shared" si="0"/>
        <v>5.9995525750559278</v>
      </c>
      <c r="T25" s="2" t="str">
        <f>IF(VLOOKUP($B25,'Indicator Data (national)'!$B$5:$BC$14,43,FALSE)="No data","x",IF(VLOOKUP($B25,'Indicator Data (national)'!$B$5:$BC$14,43,FALSE)&gt;T$150,10,IF(VLOOKUP($B25,'Indicator Data (national)'!$B$5:$BC$14,43,FALSE)&lt;T$149,0,(T$150-VLOOKUP($B25,'Indicator Data (national)'!$B$5:$BC$14,43,FALSE))/(T$150-T$149)*10)))</f>
        <v>x</v>
      </c>
      <c r="U25" s="3" t="str">
        <f t="shared" si="10"/>
        <v>x</v>
      </c>
      <c r="V25" s="5">
        <f t="shared" si="1"/>
        <v>7.8147019009879646</v>
      </c>
      <c r="W25" s="2">
        <f>IF(VLOOKUP($B25,'Indicator Data (national)'!$B$5:$AS$14,37,FALSE)="No data","x",IF(VLOOKUP($B25,'Indicator Data (national)'!$B$5:$AS$14,37,FALSE)&gt;W$150,10,IF(VLOOKUP($B25,'Indicator Data (national)'!$B$5:$AS$14,37,FALSE)&lt;W$149,0,(LOG(W$150)-LOG(VLOOKUP($B25,'Indicator Data (national)'!$B$5:$AS$14,37,FALSE)))/(LOG(W$150)-LOG(W$149))*10)))</f>
        <v>9.2716806695832812</v>
      </c>
      <c r="X25" s="2">
        <f>IF(VLOOKUP($B25,'Indicator Data (national)'!$B$5:$BB$14,45,FALSE)="No data","x",IF(VLOOKUP($B25,'Indicator Data (national)'!$B$5:$BB$14,45,FALSE)&gt;X$150,10,IF(VLOOKUP($B25,'Indicator Data (national)'!$B$5:$BB$14,45,FALSE)&lt;X$149,0,10-(X$150-VLOOKUP($B25,'Indicator Data (national)'!$B$5:$BB$14,45,FALSE))/(X$150-X$149)*10)))</f>
        <v>2.2222222222222223</v>
      </c>
      <c r="Y25" s="2">
        <f>IF(VLOOKUP($B25,'Indicator Data (national)'!$B$5:$BB$14,46,FALSE)="No data","x",IF(VLOOKUP($B25,'Indicator Data (national)'!$B$5:$BB$14,46,FALSE)&gt;Y$150,10,IF(VLOOKUP($B25,'Indicator Data (national)'!$B$5:$BB$14,46,FALSE)&lt;Y$149,0,(Y$150-VLOOKUP($B25,'Indicator Data (national)'!$B$5:$BB$14,46,FALSE))/(Y$150-Y$149)*10)))</f>
        <v>0.6</v>
      </c>
      <c r="Z25" s="156">
        <f>IF(VLOOKUP($B25,'Indicator Data (national)'!$B$5:$BB$14,48,FALSE)="No data","x",VLOOKUP($B25,'Indicator Data (national)'!$B$5:$BB$14,47,FALSE)*VLOOKUP($B25,'Indicator Data (national)'!$B$5:$BB$14,48,FALSE))</f>
        <v>8.8389192921043698</v>
      </c>
      <c r="AA25" s="2">
        <f t="shared" si="11"/>
        <v>9.1161080707895632</v>
      </c>
      <c r="AB25" s="3">
        <f t="shared" si="12"/>
        <v>5.3025027406487668</v>
      </c>
      <c r="AC25" s="2">
        <f>IF(VLOOKUP($B25,'Indicator Data (national)'!$B$5:$BB$14,49,FALSE)="No data","x",IF(VLOOKUP($B25,'Indicator Data (national)'!$B$5:$BB$14,49,FALSE)&gt;AC$150,0,IF(VLOOKUP($B25,'Indicator Data (national)'!$B$5:$BB$14,49,FALSE)&lt;AC$149,10,(AC$150-VLOOKUP($B25,'Indicator Data (national)'!$B$5:$BB$14,49,FALSE))/(AC$150-AC$149)*10)))</f>
        <v>9.82</v>
      </c>
      <c r="AD25" s="2">
        <f>IF(VLOOKUP($B25,'Indicator Data (national)'!$B$5:$BB$14,50,FALSE)="No data","x",IF(VLOOKUP($B25,'Indicator Data (national)'!$B$5:$BB$14,50,FALSE)&gt;AD$150,0,IF(VLOOKUP($B25,'Indicator Data (national)'!$B$5:$BB$14,50,FALSE)&lt;AD$149,10,(AD$150-VLOOKUP($B25,'Indicator Data (national)'!$B$5:$BB$14,50,FALSE))/(AD$150-AD$149)*10)))</f>
        <v>9.8960000000000008</v>
      </c>
      <c r="AE25" s="3">
        <f t="shared" si="13"/>
        <v>9.8580000000000005</v>
      </c>
      <c r="AF25" s="2">
        <f>IF(VLOOKUP($B25,'Indicator Data (national)'!$B$5:$BB$14,51,FALSE)="No data","x",IF(VLOOKUP($B25,'Indicator Data (national)'!$B$5:$BB$14,51,FALSE)&gt;AF$150,0,IF(VLOOKUP($B25,'Indicator Data (national)'!$B$5:$BB$14,51,FALSE)&lt;AF$149,10,(AF$150-VLOOKUP($B25,'Indicator Data (national)'!$B$5:$BB$14,51,FALSE))/(AF$150-AF$149)*10)))</f>
        <v>8.444126969850851</v>
      </c>
      <c r="AG25" s="2" t="str">
        <f>IF(VLOOKUP($B25,'Indicator Data (national)'!$B$5:$BB$14,52,FALSE)="No data","x",IF(VLOOKUP($B25,'Indicator Data (national)'!$B$5:$BB$14,52,FALSE)&gt;AG$150,0,IF(VLOOKUP($B25,'Indicator Data (national)'!$B$5:$BB$14,52,FALSE)&lt;AG$149,10,(AG$150-VLOOKUP($B25,'Indicator Data (national)'!$B$5:$BB$14,52,FALSE))/(AG$150-AG$149)*10)))</f>
        <v>x</v>
      </c>
      <c r="AH25" s="2" t="str">
        <f>IF(VLOOKUP($B25,'Indicator Data (national)'!$B$5:$BB$14,53,FALSE)="No data","x",IF(VLOOKUP($B25,'Indicator Data (national)'!$B$5:$BB$14,53,FALSE)&gt;AH$150,0,IF(VLOOKUP($B25,'Indicator Data (national)'!$B$5:$BB$14,53,FALSE)&lt;AH$149,10,(AH$150-VLOOKUP($B25,'Indicator Data (national)'!$B$5:$BB$14,53,FALSE))/(AH$150-AH$149)*10)))</f>
        <v>x</v>
      </c>
      <c r="AI25" s="3">
        <f t="shared" si="14"/>
        <v>8.444126969850851</v>
      </c>
      <c r="AJ25" s="5">
        <f t="shared" si="2"/>
        <v>7.8682099034998716</v>
      </c>
    </row>
    <row r="26" spans="1:36" s="11" customFormat="1" x14ac:dyDescent="0.25">
      <c r="A26" s="16" t="s">
        <v>375</v>
      </c>
      <c r="B26" s="11" t="s">
        <v>574</v>
      </c>
      <c r="C26" s="16" t="s">
        <v>376</v>
      </c>
      <c r="D26" s="120">
        <f>(VLOOKUP($B26,'Indicator Data (national)'!$B$5:$AP$14,39,FALSE)+VLOOKUP($B26,'Indicator Data (national)'!$B$5:$AP$14,40,FALSE)+VLOOKUP($B26,'Indicator Data (national)'!$B$5:$AP$14,41,FALSE))/VLOOKUP($B26,'Indicator Data (national)'!$B$5:$AP$14,38,FALSE)*1000000</f>
        <v>8.8423821693363547E-2</v>
      </c>
      <c r="E26" s="2">
        <f t="shared" si="3"/>
        <v>9.5578808915331823</v>
      </c>
      <c r="F26" s="3">
        <f t="shared" si="4"/>
        <v>9.5578808915331823</v>
      </c>
      <c r="G26" s="2">
        <f>IF(VLOOKUP($B26,'Indicator Data (national)'!$B$5:$AQ$14,30,FALSE)="No data","x",IF(VLOOKUP($B26,'Indicator Data (national)'!$B$5:$AQ$14,30,FALSE)&gt;G$150,10,IF(VLOOKUP($B26,'Indicator Data (national)'!$B$5:$AQ$14,30,FALSE)&lt;G$149,0,(G$150-VLOOKUP($B26,'Indicator Data (national)'!$B$5:$AQ$14,30,FALSE))/(G$150-G$149)*10)))</f>
        <v>8.1999999999999993</v>
      </c>
      <c r="H26" s="2">
        <f>IF(VLOOKUP($B26,'Indicator Data (national)'!$B$5:$AQ$14,29,FALSE)="No data","x",IF(VLOOKUP($B26,'Indicator Data (national)'!$B$5:$AQ$14,29,FALSE)&gt;H$150,10,IF(VLOOKUP($B26,'Indicator Data (national)'!$B$5:$AQ$14,29,FALSE)&lt;H$149,0,(H$150-VLOOKUP($B26,'Indicator Data (national)'!$B$5:$AQ$14,29,FALSE))/(H$150-H$149)*10)))</f>
        <v>8.086789608001709</v>
      </c>
      <c r="I26" s="3">
        <f t="shared" si="5"/>
        <v>8.1433948040008541</v>
      </c>
      <c r="J26" s="5">
        <f t="shared" si="6"/>
        <v>8.8506378477670182</v>
      </c>
      <c r="K26" s="2">
        <f>IF(VLOOKUP($B26,'Indicator Data (national)'!$B$5:$AQ$14,33,FALSE)="No data","x",IF(VLOOKUP($B26,'Indicator Data (national)'!$B$5:$AQ$14,33,FALSE)&gt;K$150,10,IF(VLOOKUP($B26,'Indicator Data (national)'!$B$5:$AQ$14,33,FALSE)&lt;K$149,0,(K$150-VLOOKUP($B26,'Indicator Data (national)'!$B$5:$AQ$14,33,FALSE))/(K$150-K$149)*10)))</f>
        <v>9.82</v>
      </c>
      <c r="L26" s="2">
        <f>IF(VLOOKUP($B26,'Indicator Data (national)'!$B$5:$AQ$14,34,FALSE)="No data","x",IF(VLOOKUP($B26,'Indicator Data (national)'!$B$5:$AQ$14,34,FALSE)&gt;L$150,10,IF(VLOOKUP($B26,'Indicator Data (national)'!$B$5:$AQ$14,34,FALSE)&lt;L$149,0,(L$150-VLOOKUP($B26,'Indicator Data (national)'!$B$5:$AQ$14,34,FALSE))/(L$150-L$149)*10)))</f>
        <v>9.4397024538400025</v>
      </c>
      <c r="M26" s="3">
        <f t="shared" si="7"/>
        <v>9.6298512269200014</v>
      </c>
      <c r="N26" s="2">
        <f>IF(VLOOKUP($B26,'Indicator Data (national)'!$B$5:$AS$14,44,FALSE)="No data","x",IF(VLOOKUP($B26,'Indicator Data (national)'!$B$5:$AS$14,44,FALSE)&gt;N$150,10,IF(VLOOKUP($B26,'Indicator Data (national)'!$B$5:$AS$14,44,FALSE)&lt;N$149,0,10-(N$150-VLOOKUP($B26,'Indicator Data (national)'!$B$5:$AS$14,44,FALSE))/(N$150-N$149)*10)))</f>
        <v>2.1333333333333337</v>
      </c>
      <c r="O26" s="2">
        <f>IF(VLOOKUP($B26,'Indicator Data (national)'!$B$5:$AS$14,42,FALSE)="No data","x",IF(VLOOKUP($B26,'Indicator Data (national)'!$B$5:$AS$14,42,FALSE)&gt;O$150,0,IF(VLOOKUP($B26,'Indicator Data (national)'!$B$5:$AS$14,42,FALSE)&lt;O$149,10,(O$150-VLOOKUP($B26,'Indicator Data (national)'!$B$5:$AS$14,42,FALSE))/(O$150-O$149)*10)))</f>
        <v>9.8657718167785227</v>
      </c>
      <c r="P26" s="158">
        <f t="shared" si="8"/>
        <v>5.9995525750559278</v>
      </c>
      <c r="Q26" s="2" t="str">
        <f>IF(VLOOKUP($B26,'Indicator Data (national)'!$B$5:$Q$14,16,FALSE)="No data","x",IF(VLOOKUP($B26,'Indicator Data (national)'!$B$5:$Q$14,16,FALSE)&gt;Q$150,0,IF(VLOOKUP($B26,'Indicator Data (national)'!$B$5:$Q$14,16,FALSE)&lt;Q$149,10,(Q$150-VLOOKUP($B26,'Indicator Data (national)'!$B$5:$Q$14,16,FALSE))/(Q$150-Q$149)*10)))</f>
        <v>x</v>
      </c>
      <c r="R26" s="158" t="str">
        <f t="shared" si="9"/>
        <v>x</v>
      </c>
      <c r="S26" s="3">
        <f t="shared" si="0"/>
        <v>5.9995525750559278</v>
      </c>
      <c r="T26" s="2" t="str">
        <f>IF(VLOOKUP($B26,'Indicator Data (national)'!$B$5:$BC$14,43,FALSE)="No data","x",IF(VLOOKUP($B26,'Indicator Data (national)'!$B$5:$BC$14,43,FALSE)&gt;T$150,10,IF(VLOOKUP($B26,'Indicator Data (national)'!$B$5:$BC$14,43,FALSE)&lt;T$149,0,(T$150-VLOOKUP($B26,'Indicator Data (national)'!$B$5:$BC$14,43,FALSE))/(T$150-T$149)*10)))</f>
        <v>x</v>
      </c>
      <c r="U26" s="3" t="str">
        <f t="shared" si="10"/>
        <v>x</v>
      </c>
      <c r="V26" s="5">
        <f t="shared" si="1"/>
        <v>7.8147019009879646</v>
      </c>
      <c r="W26" s="2">
        <f>IF(VLOOKUP($B26,'Indicator Data (national)'!$B$5:$AS$14,37,FALSE)="No data","x",IF(VLOOKUP($B26,'Indicator Data (national)'!$B$5:$AS$14,37,FALSE)&gt;W$150,10,IF(VLOOKUP($B26,'Indicator Data (national)'!$B$5:$AS$14,37,FALSE)&lt;W$149,0,(LOG(W$150)-LOG(VLOOKUP($B26,'Indicator Data (national)'!$B$5:$AS$14,37,FALSE)))/(LOG(W$150)-LOG(W$149))*10)))</f>
        <v>9.2716806695832812</v>
      </c>
      <c r="X26" s="2">
        <f>IF(VLOOKUP($B26,'Indicator Data (national)'!$B$5:$BB$14,45,FALSE)="No data","x",IF(VLOOKUP($B26,'Indicator Data (national)'!$B$5:$BB$14,45,FALSE)&gt;X$150,10,IF(VLOOKUP($B26,'Indicator Data (national)'!$B$5:$BB$14,45,FALSE)&lt;X$149,0,10-(X$150-VLOOKUP($B26,'Indicator Data (national)'!$B$5:$BB$14,45,FALSE))/(X$150-X$149)*10)))</f>
        <v>2.2222222222222223</v>
      </c>
      <c r="Y26" s="2">
        <f>IF(VLOOKUP($B26,'Indicator Data (national)'!$B$5:$BB$14,46,FALSE)="No data","x",IF(VLOOKUP($B26,'Indicator Data (national)'!$B$5:$BB$14,46,FALSE)&gt;Y$150,10,IF(VLOOKUP($B26,'Indicator Data (national)'!$B$5:$BB$14,46,FALSE)&lt;Y$149,0,(Y$150-VLOOKUP($B26,'Indicator Data (national)'!$B$5:$BB$14,46,FALSE))/(Y$150-Y$149)*10)))</f>
        <v>0.6</v>
      </c>
      <c r="Z26" s="156">
        <f>IF(VLOOKUP($B26,'Indicator Data (national)'!$B$5:$BB$14,48,FALSE)="No data","x",VLOOKUP($B26,'Indicator Data (national)'!$B$5:$BB$14,47,FALSE)*VLOOKUP($B26,'Indicator Data (national)'!$B$5:$BB$14,48,FALSE))</f>
        <v>8.8389192921043698</v>
      </c>
      <c r="AA26" s="2">
        <f t="shared" si="11"/>
        <v>9.1161080707895632</v>
      </c>
      <c r="AB26" s="3">
        <f t="shared" si="12"/>
        <v>5.3025027406487668</v>
      </c>
      <c r="AC26" s="2">
        <f>IF(VLOOKUP($B26,'Indicator Data (national)'!$B$5:$BB$14,49,FALSE)="No data","x",IF(VLOOKUP($B26,'Indicator Data (national)'!$B$5:$BB$14,49,FALSE)&gt;AC$150,0,IF(VLOOKUP($B26,'Indicator Data (national)'!$B$5:$BB$14,49,FALSE)&lt;AC$149,10,(AC$150-VLOOKUP($B26,'Indicator Data (national)'!$B$5:$BB$14,49,FALSE))/(AC$150-AC$149)*10)))</f>
        <v>9.82</v>
      </c>
      <c r="AD26" s="2">
        <f>IF(VLOOKUP($B26,'Indicator Data (national)'!$B$5:$BB$14,50,FALSE)="No data","x",IF(VLOOKUP($B26,'Indicator Data (national)'!$B$5:$BB$14,50,FALSE)&gt;AD$150,0,IF(VLOOKUP($B26,'Indicator Data (national)'!$B$5:$BB$14,50,FALSE)&lt;AD$149,10,(AD$150-VLOOKUP($B26,'Indicator Data (national)'!$B$5:$BB$14,50,FALSE))/(AD$150-AD$149)*10)))</f>
        <v>9.8960000000000008</v>
      </c>
      <c r="AE26" s="3">
        <f t="shared" si="13"/>
        <v>9.8580000000000005</v>
      </c>
      <c r="AF26" s="2">
        <f>IF(VLOOKUP($B26,'Indicator Data (national)'!$B$5:$BB$14,51,FALSE)="No data","x",IF(VLOOKUP($B26,'Indicator Data (national)'!$B$5:$BB$14,51,FALSE)&gt;AF$150,0,IF(VLOOKUP($B26,'Indicator Data (national)'!$B$5:$BB$14,51,FALSE)&lt;AF$149,10,(AF$150-VLOOKUP($B26,'Indicator Data (national)'!$B$5:$BB$14,51,FALSE))/(AF$150-AF$149)*10)))</f>
        <v>8.444126969850851</v>
      </c>
      <c r="AG26" s="2" t="str">
        <f>IF(VLOOKUP($B26,'Indicator Data (national)'!$B$5:$BB$14,52,FALSE)="No data","x",IF(VLOOKUP($B26,'Indicator Data (national)'!$B$5:$BB$14,52,FALSE)&gt;AG$150,0,IF(VLOOKUP($B26,'Indicator Data (national)'!$B$5:$BB$14,52,FALSE)&lt;AG$149,10,(AG$150-VLOOKUP($B26,'Indicator Data (national)'!$B$5:$BB$14,52,FALSE))/(AG$150-AG$149)*10)))</f>
        <v>x</v>
      </c>
      <c r="AH26" s="2" t="str">
        <f>IF(VLOOKUP($B26,'Indicator Data (national)'!$B$5:$BB$14,53,FALSE)="No data","x",IF(VLOOKUP($B26,'Indicator Data (national)'!$B$5:$BB$14,53,FALSE)&gt;AH$150,0,IF(VLOOKUP($B26,'Indicator Data (national)'!$B$5:$BB$14,53,FALSE)&lt;AH$149,10,(AH$150-VLOOKUP($B26,'Indicator Data (national)'!$B$5:$BB$14,53,FALSE))/(AH$150-AH$149)*10)))</f>
        <v>x</v>
      </c>
      <c r="AI26" s="3">
        <f t="shared" si="14"/>
        <v>8.444126969850851</v>
      </c>
      <c r="AJ26" s="5">
        <f t="shared" si="2"/>
        <v>7.8682099034998716</v>
      </c>
    </row>
    <row r="27" spans="1:36" s="11" customFormat="1" x14ac:dyDescent="0.25">
      <c r="A27" s="16" t="s">
        <v>377</v>
      </c>
      <c r="B27" s="11" t="s">
        <v>574</v>
      </c>
      <c r="C27" s="16" t="s">
        <v>378</v>
      </c>
      <c r="D27" s="120">
        <f>(VLOOKUP($B27,'Indicator Data (national)'!$B$5:$AP$14,39,FALSE)+VLOOKUP($B27,'Indicator Data (national)'!$B$5:$AP$14,40,FALSE)+VLOOKUP($B27,'Indicator Data (national)'!$B$5:$AP$14,41,FALSE))/VLOOKUP($B27,'Indicator Data (national)'!$B$5:$AP$14,38,FALSE)*1000000</f>
        <v>8.8423821693363547E-2</v>
      </c>
      <c r="E27" s="2">
        <f t="shared" si="3"/>
        <v>9.5578808915331823</v>
      </c>
      <c r="F27" s="3">
        <f t="shared" si="4"/>
        <v>9.5578808915331823</v>
      </c>
      <c r="G27" s="2">
        <f>IF(VLOOKUP($B27,'Indicator Data (national)'!$B$5:$AQ$14,30,FALSE)="No data","x",IF(VLOOKUP($B27,'Indicator Data (national)'!$B$5:$AQ$14,30,FALSE)&gt;G$150,10,IF(VLOOKUP($B27,'Indicator Data (national)'!$B$5:$AQ$14,30,FALSE)&lt;G$149,0,(G$150-VLOOKUP($B27,'Indicator Data (national)'!$B$5:$AQ$14,30,FALSE))/(G$150-G$149)*10)))</f>
        <v>8.1999999999999993</v>
      </c>
      <c r="H27" s="2">
        <f>IF(VLOOKUP($B27,'Indicator Data (national)'!$B$5:$AQ$14,29,FALSE)="No data","x",IF(VLOOKUP($B27,'Indicator Data (national)'!$B$5:$AQ$14,29,FALSE)&gt;H$150,10,IF(VLOOKUP($B27,'Indicator Data (national)'!$B$5:$AQ$14,29,FALSE)&lt;H$149,0,(H$150-VLOOKUP($B27,'Indicator Data (national)'!$B$5:$AQ$14,29,FALSE))/(H$150-H$149)*10)))</f>
        <v>8.086789608001709</v>
      </c>
      <c r="I27" s="3">
        <f t="shared" si="5"/>
        <v>8.1433948040008541</v>
      </c>
      <c r="J27" s="5">
        <f t="shared" si="6"/>
        <v>8.8506378477670182</v>
      </c>
      <c r="K27" s="2">
        <f>IF(VLOOKUP($B27,'Indicator Data (national)'!$B$5:$AQ$14,33,FALSE)="No data","x",IF(VLOOKUP($B27,'Indicator Data (national)'!$B$5:$AQ$14,33,FALSE)&gt;K$150,10,IF(VLOOKUP($B27,'Indicator Data (national)'!$B$5:$AQ$14,33,FALSE)&lt;K$149,0,(K$150-VLOOKUP($B27,'Indicator Data (national)'!$B$5:$AQ$14,33,FALSE))/(K$150-K$149)*10)))</f>
        <v>9.82</v>
      </c>
      <c r="L27" s="2">
        <f>IF(VLOOKUP($B27,'Indicator Data (national)'!$B$5:$AQ$14,34,FALSE)="No data","x",IF(VLOOKUP($B27,'Indicator Data (national)'!$B$5:$AQ$14,34,FALSE)&gt;L$150,10,IF(VLOOKUP($B27,'Indicator Data (national)'!$B$5:$AQ$14,34,FALSE)&lt;L$149,0,(L$150-VLOOKUP($B27,'Indicator Data (national)'!$B$5:$AQ$14,34,FALSE))/(L$150-L$149)*10)))</f>
        <v>9.4397024538400025</v>
      </c>
      <c r="M27" s="3">
        <f t="shared" si="7"/>
        <v>9.6298512269200014</v>
      </c>
      <c r="N27" s="2">
        <f>IF(VLOOKUP($B27,'Indicator Data (national)'!$B$5:$AS$14,44,FALSE)="No data","x",IF(VLOOKUP($B27,'Indicator Data (national)'!$B$5:$AS$14,44,FALSE)&gt;N$150,10,IF(VLOOKUP($B27,'Indicator Data (national)'!$B$5:$AS$14,44,FALSE)&lt;N$149,0,10-(N$150-VLOOKUP($B27,'Indicator Data (national)'!$B$5:$AS$14,44,FALSE))/(N$150-N$149)*10)))</f>
        <v>2.1333333333333337</v>
      </c>
      <c r="O27" s="2">
        <f>IF(VLOOKUP($B27,'Indicator Data (national)'!$B$5:$AS$14,42,FALSE)="No data","x",IF(VLOOKUP($B27,'Indicator Data (national)'!$B$5:$AS$14,42,FALSE)&gt;O$150,0,IF(VLOOKUP($B27,'Indicator Data (national)'!$B$5:$AS$14,42,FALSE)&lt;O$149,10,(O$150-VLOOKUP($B27,'Indicator Data (national)'!$B$5:$AS$14,42,FALSE))/(O$150-O$149)*10)))</f>
        <v>9.8657718167785227</v>
      </c>
      <c r="P27" s="158">
        <f t="shared" si="8"/>
        <v>5.9995525750559278</v>
      </c>
      <c r="Q27" s="2" t="str">
        <f>IF(VLOOKUP($B27,'Indicator Data (national)'!$B$5:$Q$14,16,FALSE)="No data","x",IF(VLOOKUP($B27,'Indicator Data (national)'!$B$5:$Q$14,16,FALSE)&gt;Q$150,0,IF(VLOOKUP($B27,'Indicator Data (national)'!$B$5:$Q$14,16,FALSE)&lt;Q$149,10,(Q$150-VLOOKUP($B27,'Indicator Data (national)'!$B$5:$Q$14,16,FALSE))/(Q$150-Q$149)*10)))</f>
        <v>x</v>
      </c>
      <c r="R27" s="158" t="str">
        <f t="shared" si="9"/>
        <v>x</v>
      </c>
      <c r="S27" s="3">
        <f t="shared" si="0"/>
        <v>5.9995525750559278</v>
      </c>
      <c r="T27" s="2" t="str">
        <f>IF(VLOOKUP($B27,'Indicator Data (national)'!$B$5:$BC$14,43,FALSE)="No data","x",IF(VLOOKUP($B27,'Indicator Data (national)'!$B$5:$BC$14,43,FALSE)&gt;T$150,10,IF(VLOOKUP($B27,'Indicator Data (national)'!$B$5:$BC$14,43,FALSE)&lt;T$149,0,(T$150-VLOOKUP($B27,'Indicator Data (national)'!$B$5:$BC$14,43,FALSE))/(T$150-T$149)*10)))</f>
        <v>x</v>
      </c>
      <c r="U27" s="3" t="str">
        <f t="shared" si="10"/>
        <v>x</v>
      </c>
      <c r="V27" s="5">
        <f t="shared" si="1"/>
        <v>7.8147019009879646</v>
      </c>
      <c r="W27" s="2">
        <f>IF(VLOOKUP($B27,'Indicator Data (national)'!$B$5:$AS$14,37,FALSE)="No data","x",IF(VLOOKUP($B27,'Indicator Data (national)'!$B$5:$AS$14,37,FALSE)&gt;W$150,10,IF(VLOOKUP($B27,'Indicator Data (national)'!$B$5:$AS$14,37,FALSE)&lt;W$149,0,(LOG(W$150)-LOG(VLOOKUP($B27,'Indicator Data (national)'!$B$5:$AS$14,37,FALSE)))/(LOG(W$150)-LOG(W$149))*10)))</f>
        <v>9.2716806695832812</v>
      </c>
      <c r="X27" s="2">
        <f>IF(VLOOKUP($B27,'Indicator Data (national)'!$B$5:$BB$14,45,FALSE)="No data","x",IF(VLOOKUP($B27,'Indicator Data (national)'!$B$5:$BB$14,45,FALSE)&gt;X$150,10,IF(VLOOKUP($B27,'Indicator Data (national)'!$B$5:$BB$14,45,FALSE)&lt;X$149,0,10-(X$150-VLOOKUP($B27,'Indicator Data (national)'!$B$5:$BB$14,45,FALSE))/(X$150-X$149)*10)))</f>
        <v>2.2222222222222223</v>
      </c>
      <c r="Y27" s="2">
        <f>IF(VLOOKUP($B27,'Indicator Data (national)'!$B$5:$BB$14,46,FALSE)="No data","x",IF(VLOOKUP($B27,'Indicator Data (national)'!$B$5:$BB$14,46,FALSE)&gt;Y$150,10,IF(VLOOKUP($B27,'Indicator Data (national)'!$B$5:$BB$14,46,FALSE)&lt;Y$149,0,(Y$150-VLOOKUP($B27,'Indicator Data (national)'!$B$5:$BB$14,46,FALSE))/(Y$150-Y$149)*10)))</f>
        <v>0.6</v>
      </c>
      <c r="Z27" s="156">
        <f>IF(VLOOKUP($B27,'Indicator Data (national)'!$B$5:$BB$14,48,FALSE)="No data","x",VLOOKUP($B27,'Indicator Data (national)'!$B$5:$BB$14,47,FALSE)*VLOOKUP($B27,'Indicator Data (national)'!$B$5:$BB$14,48,FALSE))</f>
        <v>8.8389192921043698</v>
      </c>
      <c r="AA27" s="2">
        <f t="shared" si="11"/>
        <v>9.1161080707895632</v>
      </c>
      <c r="AB27" s="3">
        <f t="shared" si="12"/>
        <v>5.3025027406487668</v>
      </c>
      <c r="AC27" s="2">
        <f>IF(VLOOKUP($B27,'Indicator Data (national)'!$B$5:$BB$14,49,FALSE)="No data","x",IF(VLOOKUP($B27,'Indicator Data (national)'!$B$5:$BB$14,49,FALSE)&gt;AC$150,0,IF(VLOOKUP($B27,'Indicator Data (national)'!$B$5:$BB$14,49,FALSE)&lt;AC$149,10,(AC$150-VLOOKUP($B27,'Indicator Data (national)'!$B$5:$BB$14,49,FALSE))/(AC$150-AC$149)*10)))</f>
        <v>9.82</v>
      </c>
      <c r="AD27" s="2">
        <f>IF(VLOOKUP($B27,'Indicator Data (national)'!$B$5:$BB$14,50,FALSE)="No data","x",IF(VLOOKUP($B27,'Indicator Data (national)'!$B$5:$BB$14,50,FALSE)&gt;AD$150,0,IF(VLOOKUP($B27,'Indicator Data (national)'!$B$5:$BB$14,50,FALSE)&lt;AD$149,10,(AD$150-VLOOKUP($B27,'Indicator Data (national)'!$B$5:$BB$14,50,FALSE))/(AD$150-AD$149)*10)))</f>
        <v>9.8960000000000008</v>
      </c>
      <c r="AE27" s="3">
        <f t="shared" si="13"/>
        <v>9.8580000000000005</v>
      </c>
      <c r="AF27" s="2">
        <f>IF(VLOOKUP($B27,'Indicator Data (national)'!$B$5:$BB$14,51,FALSE)="No data","x",IF(VLOOKUP($B27,'Indicator Data (national)'!$B$5:$BB$14,51,FALSE)&gt;AF$150,0,IF(VLOOKUP($B27,'Indicator Data (national)'!$B$5:$BB$14,51,FALSE)&lt;AF$149,10,(AF$150-VLOOKUP($B27,'Indicator Data (national)'!$B$5:$BB$14,51,FALSE))/(AF$150-AF$149)*10)))</f>
        <v>8.444126969850851</v>
      </c>
      <c r="AG27" s="2" t="str">
        <f>IF(VLOOKUP($B27,'Indicator Data (national)'!$B$5:$BB$14,52,FALSE)="No data","x",IF(VLOOKUP($B27,'Indicator Data (national)'!$B$5:$BB$14,52,FALSE)&gt;AG$150,0,IF(VLOOKUP($B27,'Indicator Data (national)'!$B$5:$BB$14,52,FALSE)&lt;AG$149,10,(AG$150-VLOOKUP($B27,'Indicator Data (national)'!$B$5:$BB$14,52,FALSE))/(AG$150-AG$149)*10)))</f>
        <v>x</v>
      </c>
      <c r="AH27" s="2" t="str">
        <f>IF(VLOOKUP($B27,'Indicator Data (national)'!$B$5:$BB$14,53,FALSE)="No data","x",IF(VLOOKUP($B27,'Indicator Data (national)'!$B$5:$BB$14,53,FALSE)&gt;AH$150,0,IF(VLOOKUP($B27,'Indicator Data (national)'!$B$5:$BB$14,53,FALSE)&lt;AH$149,10,(AH$150-VLOOKUP($B27,'Indicator Data (national)'!$B$5:$BB$14,53,FALSE))/(AH$150-AH$149)*10)))</f>
        <v>x</v>
      </c>
      <c r="AI27" s="3">
        <f t="shared" si="14"/>
        <v>8.444126969850851</v>
      </c>
      <c r="AJ27" s="5">
        <f t="shared" si="2"/>
        <v>7.8682099034998716</v>
      </c>
    </row>
    <row r="28" spans="1:36" s="11" customFormat="1" x14ac:dyDescent="0.25">
      <c r="A28" s="16" t="s">
        <v>379</v>
      </c>
      <c r="B28" s="11" t="s">
        <v>574</v>
      </c>
      <c r="C28" s="16" t="s">
        <v>380</v>
      </c>
      <c r="D28" s="120">
        <f>(VLOOKUP($B28,'Indicator Data (national)'!$B$5:$AP$14,39,FALSE)+VLOOKUP($B28,'Indicator Data (national)'!$B$5:$AP$14,40,FALSE)+VLOOKUP($B28,'Indicator Data (national)'!$B$5:$AP$14,41,FALSE))/VLOOKUP($B28,'Indicator Data (national)'!$B$5:$AP$14,38,FALSE)*1000000</f>
        <v>8.8423821693363547E-2</v>
      </c>
      <c r="E28" s="2">
        <f t="shared" si="3"/>
        <v>9.5578808915331823</v>
      </c>
      <c r="F28" s="3">
        <f t="shared" si="4"/>
        <v>9.5578808915331823</v>
      </c>
      <c r="G28" s="2">
        <f>IF(VLOOKUP($B28,'Indicator Data (national)'!$B$5:$AQ$14,30,FALSE)="No data","x",IF(VLOOKUP($B28,'Indicator Data (national)'!$B$5:$AQ$14,30,FALSE)&gt;G$150,10,IF(VLOOKUP($B28,'Indicator Data (national)'!$B$5:$AQ$14,30,FALSE)&lt;G$149,0,(G$150-VLOOKUP($B28,'Indicator Data (national)'!$B$5:$AQ$14,30,FALSE))/(G$150-G$149)*10)))</f>
        <v>8.1999999999999993</v>
      </c>
      <c r="H28" s="2">
        <f>IF(VLOOKUP($B28,'Indicator Data (national)'!$B$5:$AQ$14,29,FALSE)="No data","x",IF(VLOOKUP($B28,'Indicator Data (national)'!$B$5:$AQ$14,29,FALSE)&gt;H$150,10,IF(VLOOKUP($B28,'Indicator Data (national)'!$B$5:$AQ$14,29,FALSE)&lt;H$149,0,(H$150-VLOOKUP($B28,'Indicator Data (national)'!$B$5:$AQ$14,29,FALSE))/(H$150-H$149)*10)))</f>
        <v>8.086789608001709</v>
      </c>
      <c r="I28" s="3">
        <f t="shared" si="5"/>
        <v>8.1433948040008541</v>
      </c>
      <c r="J28" s="5">
        <f t="shared" si="6"/>
        <v>8.8506378477670182</v>
      </c>
      <c r="K28" s="2">
        <f>IF(VLOOKUP($B28,'Indicator Data (national)'!$B$5:$AQ$14,33,FALSE)="No data","x",IF(VLOOKUP($B28,'Indicator Data (national)'!$B$5:$AQ$14,33,FALSE)&gt;K$150,10,IF(VLOOKUP($B28,'Indicator Data (national)'!$B$5:$AQ$14,33,FALSE)&lt;K$149,0,(K$150-VLOOKUP($B28,'Indicator Data (national)'!$B$5:$AQ$14,33,FALSE))/(K$150-K$149)*10)))</f>
        <v>9.82</v>
      </c>
      <c r="L28" s="2">
        <f>IF(VLOOKUP($B28,'Indicator Data (national)'!$B$5:$AQ$14,34,FALSE)="No data","x",IF(VLOOKUP($B28,'Indicator Data (national)'!$B$5:$AQ$14,34,FALSE)&gt;L$150,10,IF(VLOOKUP($B28,'Indicator Data (national)'!$B$5:$AQ$14,34,FALSE)&lt;L$149,0,(L$150-VLOOKUP($B28,'Indicator Data (national)'!$B$5:$AQ$14,34,FALSE))/(L$150-L$149)*10)))</f>
        <v>9.4397024538400025</v>
      </c>
      <c r="M28" s="3">
        <f t="shared" si="7"/>
        <v>9.6298512269200014</v>
      </c>
      <c r="N28" s="2">
        <f>IF(VLOOKUP($B28,'Indicator Data (national)'!$B$5:$AS$14,44,FALSE)="No data","x",IF(VLOOKUP($B28,'Indicator Data (national)'!$B$5:$AS$14,44,FALSE)&gt;N$150,10,IF(VLOOKUP($B28,'Indicator Data (national)'!$B$5:$AS$14,44,FALSE)&lt;N$149,0,10-(N$150-VLOOKUP($B28,'Indicator Data (national)'!$B$5:$AS$14,44,FALSE))/(N$150-N$149)*10)))</f>
        <v>2.1333333333333337</v>
      </c>
      <c r="O28" s="2">
        <f>IF(VLOOKUP($B28,'Indicator Data (national)'!$B$5:$AS$14,42,FALSE)="No data","x",IF(VLOOKUP($B28,'Indicator Data (national)'!$B$5:$AS$14,42,FALSE)&gt;O$150,0,IF(VLOOKUP($B28,'Indicator Data (national)'!$B$5:$AS$14,42,FALSE)&lt;O$149,10,(O$150-VLOOKUP($B28,'Indicator Data (national)'!$B$5:$AS$14,42,FALSE))/(O$150-O$149)*10)))</f>
        <v>9.8657718167785227</v>
      </c>
      <c r="P28" s="158">
        <f t="shared" si="8"/>
        <v>5.9995525750559278</v>
      </c>
      <c r="Q28" s="2" t="str">
        <f>IF(VLOOKUP($B28,'Indicator Data (national)'!$B$5:$Q$14,16,FALSE)="No data","x",IF(VLOOKUP($B28,'Indicator Data (national)'!$B$5:$Q$14,16,FALSE)&gt;Q$150,0,IF(VLOOKUP($B28,'Indicator Data (national)'!$B$5:$Q$14,16,FALSE)&lt;Q$149,10,(Q$150-VLOOKUP($B28,'Indicator Data (national)'!$B$5:$Q$14,16,FALSE))/(Q$150-Q$149)*10)))</f>
        <v>x</v>
      </c>
      <c r="R28" s="158" t="str">
        <f t="shared" si="9"/>
        <v>x</v>
      </c>
      <c r="S28" s="3">
        <f t="shared" si="0"/>
        <v>5.9995525750559278</v>
      </c>
      <c r="T28" s="2" t="str">
        <f>IF(VLOOKUP($B28,'Indicator Data (national)'!$B$5:$BC$14,43,FALSE)="No data","x",IF(VLOOKUP($B28,'Indicator Data (national)'!$B$5:$BC$14,43,FALSE)&gt;T$150,10,IF(VLOOKUP($B28,'Indicator Data (national)'!$B$5:$BC$14,43,FALSE)&lt;T$149,0,(T$150-VLOOKUP($B28,'Indicator Data (national)'!$B$5:$BC$14,43,FALSE))/(T$150-T$149)*10)))</f>
        <v>x</v>
      </c>
      <c r="U28" s="3" t="str">
        <f t="shared" si="10"/>
        <v>x</v>
      </c>
      <c r="V28" s="5">
        <f t="shared" si="1"/>
        <v>7.8147019009879646</v>
      </c>
      <c r="W28" s="2">
        <f>IF(VLOOKUP($B28,'Indicator Data (national)'!$B$5:$AS$14,37,FALSE)="No data","x",IF(VLOOKUP($B28,'Indicator Data (national)'!$B$5:$AS$14,37,FALSE)&gt;W$150,10,IF(VLOOKUP($B28,'Indicator Data (national)'!$B$5:$AS$14,37,FALSE)&lt;W$149,0,(LOG(W$150)-LOG(VLOOKUP($B28,'Indicator Data (national)'!$B$5:$AS$14,37,FALSE)))/(LOG(W$150)-LOG(W$149))*10)))</f>
        <v>9.2716806695832812</v>
      </c>
      <c r="X28" s="2">
        <f>IF(VLOOKUP($B28,'Indicator Data (national)'!$B$5:$BB$14,45,FALSE)="No data","x",IF(VLOOKUP($B28,'Indicator Data (national)'!$B$5:$BB$14,45,FALSE)&gt;X$150,10,IF(VLOOKUP($B28,'Indicator Data (national)'!$B$5:$BB$14,45,FALSE)&lt;X$149,0,10-(X$150-VLOOKUP($B28,'Indicator Data (national)'!$B$5:$BB$14,45,FALSE))/(X$150-X$149)*10)))</f>
        <v>2.2222222222222223</v>
      </c>
      <c r="Y28" s="2">
        <f>IF(VLOOKUP($B28,'Indicator Data (national)'!$B$5:$BB$14,46,FALSE)="No data","x",IF(VLOOKUP($B28,'Indicator Data (national)'!$B$5:$BB$14,46,FALSE)&gt;Y$150,10,IF(VLOOKUP($B28,'Indicator Data (national)'!$B$5:$BB$14,46,FALSE)&lt;Y$149,0,(Y$150-VLOOKUP($B28,'Indicator Data (national)'!$B$5:$BB$14,46,FALSE))/(Y$150-Y$149)*10)))</f>
        <v>0.6</v>
      </c>
      <c r="Z28" s="156">
        <f>IF(VLOOKUP($B28,'Indicator Data (national)'!$B$5:$BB$14,48,FALSE)="No data","x",VLOOKUP($B28,'Indicator Data (national)'!$B$5:$BB$14,47,FALSE)*VLOOKUP($B28,'Indicator Data (national)'!$B$5:$BB$14,48,FALSE))</f>
        <v>8.8389192921043698</v>
      </c>
      <c r="AA28" s="2">
        <f t="shared" si="11"/>
        <v>9.1161080707895632</v>
      </c>
      <c r="AB28" s="3">
        <f t="shared" si="12"/>
        <v>5.3025027406487668</v>
      </c>
      <c r="AC28" s="2">
        <f>IF(VLOOKUP($B28,'Indicator Data (national)'!$B$5:$BB$14,49,FALSE)="No data","x",IF(VLOOKUP($B28,'Indicator Data (national)'!$B$5:$BB$14,49,FALSE)&gt;AC$150,0,IF(VLOOKUP($B28,'Indicator Data (national)'!$B$5:$BB$14,49,FALSE)&lt;AC$149,10,(AC$150-VLOOKUP($B28,'Indicator Data (national)'!$B$5:$BB$14,49,FALSE))/(AC$150-AC$149)*10)))</f>
        <v>9.82</v>
      </c>
      <c r="AD28" s="2">
        <f>IF(VLOOKUP($B28,'Indicator Data (national)'!$B$5:$BB$14,50,FALSE)="No data","x",IF(VLOOKUP($B28,'Indicator Data (national)'!$B$5:$BB$14,50,FALSE)&gt;AD$150,0,IF(VLOOKUP($B28,'Indicator Data (national)'!$B$5:$BB$14,50,FALSE)&lt;AD$149,10,(AD$150-VLOOKUP($B28,'Indicator Data (national)'!$B$5:$BB$14,50,FALSE))/(AD$150-AD$149)*10)))</f>
        <v>9.8960000000000008</v>
      </c>
      <c r="AE28" s="3">
        <f t="shared" si="13"/>
        <v>9.8580000000000005</v>
      </c>
      <c r="AF28" s="2">
        <f>IF(VLOOKUP($B28,'Indicator Data (national)'!$B$5:$BB$14,51,FALSE)="No data","x",IF(VLOOKUP($B28,'Indicator Data (national)'!$B$5:$BB$14,51,FALSE)&gt;AF$150,0,IF(VLOOKUP($B28,'Indicator Data (national)'!$B$5:$BB$14,51,FALSE)&lt;AF$149,10,(AF$150-VLOOKUP($B28,'Indicator Data (national)'!$B$5:$BB$14,51,FALSE))/(AF$150-AF$149)*10)))</f>
        <v>8.444126969850851</v>
      </c>
      <c r="AG28" s="2" t="str">
        <f>IF(VLOOKUP($B28,'Indicator Data (national)'!$B$5:$BB$14,52,FALSE)="No data","x",IF(VLOOKUP($B28,'Indicator Data (national)'!$B$5:$BB$14,52,FALSE)&gt;AG$150,0,IF(VLOOKUP($B28,'Indicator Data (national)'!$B$5:$BB$14,52,FALSE)&lt;AG$149,10,(AG$150-VLOOKUP($B28,'Indicator Data (national)'!$B$5:$BB$14,52,FALSE))/(AG$150-AG$149)*10)))</f>
        <v>x</v>
      </c>
      <c r="AH28" s="2" t="str">
        <f>IF(VLOOKUP($B28,'Indicator Data (national)'!$B$5:$BB$14,53,FALSE)="No data","x",IF(VLOOKUP($B28,'Indicator Data (national)'!$B$5:$BB$14,53,FALSE)&gt;AH$150,0,IF(VLOOKUP($B28,'Indicator Data (national)'!$B$5:$BB$14,53,FALSE)&lt;AH$149,10,(AH$150-VLOOKUP($B28,'Indicator Data (national)'!$B$5:$BB$14,53,FALSE))/(AH$150-AH$149)*10)))</f>
        <v>x</v>
      </c>
      <c r="AI28" s="3">
        <f t="shared" si="14"/>
        <v>8.444126969850851</v>
      </c>
      <c r="AJ28" s="5">
        <f t="shared" si="2"/>
        <v>7.8682099034998716</v>
      </c>
    </row>
    <row r="29" spans="1:36" s="11" customFormat="1" x14ac:dyDescent="0.25">
      <c r="A29" s="16" t="s">
        <v>381</v>
      </c>
      <c r="B29" s="11" t="s">
        <v>574</v>
      </c>
      <c r="C29" s="16" t="s">
        <v>382</v>
      </c>
      <c r="D29" s="120">
        <f>(VLOOKUP($B29,'Indicator Data (national)'!$B$5:$AP$14,39,FALSE)+VLOOKUP($B29,'Indicator Data (national)'!$B$5:$AP$14,40,FALSE)+VLOOKUP($B29,'Indicator Data (national)'!$B$5:$AP$14,41,FALSE))/VLOOKUP($B29,'Indicator Data (national)'!$B$5:$AP$14,38,FALSE)*1000000</f>
        <v>8.8423821693363547E-2</v>
      </c>
      <c r="E29" s="2">
        <f t="shared" si="3"/>
        <v>9.5578808915331823</v>
      </c>
      <c r="F29" s="3">
        <f t="shared" si="4"/>
        <v>9.5578808915331823</v>
      </c>
      <c r="G29" s="2">
        <f>IF(VLOOKUP($B29,'Indicator Data (national)'!$B$5:$AQ$14,30,FALSE)="No data","x",IF(VLOOKUP($B29,'Indicator Data (national)'!$B$5:$AQ$14,30,FALSE)&gt;G$150,10,IF(VLOOKUP($B29,'Indicator Data (national)'!$B$5:$AQ$14,30,FALSE)&lt;G$149,0,(G$150-VLOOKUP($B29,'Indicator Data (national)'!$B$5:$AQ$14,30,FALSE))/(G$150-G$149)*10)))</f>
        <v>8.1999999999999993</v>
      </c>
      <c r="H29" s="2">
        <f>IF(VLOOKUP($B29,'Indicator Data (national)'!$B$5:$AQ$14,29,FALSE)="No data","x",IF(VLOOKUP($B29,'Indicator Data (national)'!$B$5:$AQ$14,29,FALSE)&gt;H$150,10,IF(VLOOKUP($B29,'Indicator Data (national)'!$B$5:$AQ$14,29,FALSE)&lt;H$149,0,(H$150-VLOOKUP($B29,'Indicator Data (national)'!$B$5:$AQ$14,29,FALSE))/(H$150-H$149)*10)))</f>
        <v>8.086789608001709</v>
      </c>
      <c r="I29" s="3">
        <f t="shared" si="5"/>
        <v>8.1433948040008541</v>
      </c>
      <c r="J29" s="5">
        <f t="shared" si="6"/>
        <v>8.8506378477670182</v>
      </c>
      <c r="K29" s="2">
        <f>IF(VLOOKUP($B29,'Indicator Data (national)'!$B$5:$AQ$14,33,FALSE)="No data","x",IF(VLOOKUP($B29,'Indicator Data (national)'!$B$5:$AQ$14,33,FALSE)&gt;K$150,10,IF(VLOOKUP($B29,'Indicator Data (national)'!$B$5:$AQ$14,33,FALSE)&lt;K$149,0,(K$150-VLOOKUP($B29,'Indicator Data (national)'!$B$5:$AQ$14,33,FALSE))/(K$150-K$149)*10)))</f>
        <v>9.82</v>
      </c>
      <c r="L29" s="2">
        <f>IF(VLOOKUP($B29,'Indicator Data (national)'!$B$5:$AQ$14,34,FALSE)="No data","x",IF(VLOOKUP($B29,'Indicator Data (national)'!$B$5:$AQ$14,34,FALSE)&gt;L$150,10,IF(VLOOKUP($B29,'Indicator Data (national)'!$B$5:$AQ$14,34,FALSE)&lt;L$149,0,(L$150-VLOOKUP($B29,'Indicator Data (national)'!$B$5:$AQ$14,34,FALSE))/(L$150-L$149)*10)))</f>
        <v>9.4397024538400025</v>
      </c>
      <c r="M29" s="3">
        <f t="shared" si="7"/>
        <v>9.6298512269200014</v>
      </c>
      <c r="N29" s="2">
        <f>IF(VLOOKUP($B29,'Indicator Data (national)'!$B$5:$AS$14,44,FALSE)="No data","x",IF(VLOOKUP($B29,'Indicator Data (national)'!$B$5:$AS$14,44,FALSE)&gt;N$150,10,IF(VLOOKUP($B29,'Indicator Data (national)'!$B$5:$AS$14,44,FALSE)&lt;N$149,0,10-(N$150-VLOOKUP($B29,'Indicator Data (national)'!$B$5:$AS$14,44,FALSE))/(N$150-N$149)*10)))</f>
        <v>2.1333333333333337</v>
      </c>
      <c r="O29" s="2">
        <f>IF(VLOOKUP($B29,'Indicator Data (national)'!$B$5:$AS$14,42,FALSE)="No data","x",IF(VLOOKUP($B29,'Indicator Data (national)'!$B$5:$AS$14,42,FALSE)&gt;O$150,0,IF(VLOOKUP($B29,'Indicator Data (national)'!$B$5:$AS$14,42,FALSE)&lt;O$149,10,(O$150-VLOOKUP($B29,'Indicator Data (national)'!$B$5:$AS$14,42,FALSE))/(O$150-O$149)*10)))</f>
        <v>9.8657718167785227</v>
      </c>
      <c r="P29" s="158">
        <f t="shared" si="8"/>
        <v>5.9995525750559278</v>
      </c>
      <c r="Q29" s="2" t="str">
        <f>IF(VLOOKUP($B29,'Indicator Data (national)'!$B$5:$Q$14,16,FALSE)="No data","x",IF(VLOOKUP($B29,'Indicator Data (national)'!$B$5:$Q$14,16,FALSE)&gt;Q$150,0,IF(VLOOKUP($B29,'Indicator Data (national)'!$B$5:$Q$14,16,FALSE)&lt;Q$149,10,(Q$150-VLOOKUP($B29,'Indicator Data (national)'!$B$5:$Q$14,16,FALSE))/(Q$150-Q$149)*10)))</f>
        <v>x</v>
      </c>
      <c r="R29" s="158" t="str">
        <f t="shared" si="9"/>
        <v>x</v>
      </c>
      <c r="S29" s="3">
        <f t="shared" si="0"/>
        <v>5.9995525750559278</v>
      </c>
      <c r="T29" s="2" t="str">
        <f>IF(VLOOKUP($B29,'Indicator Data (national)'!$B$5:$BC$14,43,FALSE)="No data","x",IF(VLOOKUP($B29,'Indicator Data (national)'!$B$5:$BC$14,43,FALSE)&gt;T$150,10,IF(VLOOKUP($B29,'Indicator Data (national)'!$B$5:$BC$14,43,FALSE)&lt;T$149,0,(T$150-VLOOKUP($B29,'Indicator Data (national)'!$B$5:$BC$14,43,FALSE))/(T$150-T$149)*10)))</f>
        <v>x</v>
      </c>
      <c r="U29" s="3" t="str">
        <f t="shared" si="10"/>
        <v>x</v>
      </c>
      <c r="V29" s="5">
        <f t="shared" si="1"/>
        <v>7.8147019009879646</v>
      </c>
      <c r="W29" s="2">
        <f>IF(VLOOKUP($B29,'Indicator Data (national)'!$B$5:$AS$14,37,FALSE)="No data","x",IF(VLOOKUP($B29,'Indicator Data (national)'!$B$5:$AS$14,37,FALSE)&gt;W$150,10,IF(VLOOKUP($B29,'Indicator Data (national)'!$B$5:$AS$14,37,FALSE)&lt;W$149,0,(LOG(W$150)-LOG(VLOOKUP($B29,'Indicator Data (national)'!$B$5:$AS$14,37,FALSE)))/(LOG(W$150)-LOG(W$149))*10)))</f>
        <v>9.2716806695832812</v>
      </c>
      <c r="X29" s="2">
        <f>IF(VLOOKUP($B29,'Indicator Data (national)'!$B$5:$BB$14,45,FALSE)="No data","x",IF(VLOOKUP($B29,'Indicator Data (national)'!$B$5:$BB$14,45,FALSE)&gt;X$150,10,IF(VLOOKUP($B29,'Indicator Data (national)'!$B$5:$BB$14,45,FALSE)&lt;X$149,0,10-(X$150-VLOOKUP($B29,'Indicator Data (national)'!$B$5:$BB$14,45,FALSE))/(X$150-X$149)*10)))</f>
        <v>2.2222222222222223</v>
      </c>
      <c r="Y29" s="2">
        <f>IF(VLOOKUP($B29,'Indicator Data (national)'!$B$5:$BB$14,46,FALSE)="No data","x",IF(VLOOKUP($B29,'Indicator Data (national)'!$B$5:$BB$14,46,FALSE)&gt;Y$150,10,IF(VLOOKUP($B29,'Indicator Data (national)'!$B$5:$BB$14,46,FALSE)&lt;Y$149,0,(Y$150-VLOOKUP($B29,'Indicator Data (national)'!$B$5:$BB$14,46,FALSE))/(Y$150-Y$149)*10)))</f>
        <v>0.6</v>
      </c>
      <c r="Z29" s="156">
        <f>IF(VLOOKUP($B29,'Indicator Data (national)'!$B$5:$BB$14,48,FALSE)="No data","x",VLOOKUP($B29,'Indicator Data (national)'!$B$5:$BB$14,47,FALSE)*VLOOKUP($B29,'Indicator Data (national)'!$B$5:$BB$14,48,FALSE))</f>
        <v>8.8389192921043698</v>
      </c>
      <c r="AA29" s="2">
        <f t="shared" si="11"/>
        <v>9.1161080707895632</v>
      </c>
      <c r="AB29" s="3">
        <f t="shared" si="12"/>
        <v>5.3025027406487668</v>
      </c>
      <c r="AC29" s="2">
        <f>IF(VLOOKUP($B29,'Indicator Data (national)'!$B$5:$BB$14,49,FALSE)="No data","x",IF(VLOOKUP($B29,'Indicator Data (national)'!$B$5:$BB$14,49,FALSE)&gt;AC$150,0,IF(VLOOKUP($B29,'Indicator Data (national)'!$B$5:$BB$14,49,FALSE)&lt;AC$149,10,(AC$150-VLOOKUP($B29,'Indicator Data (national)'!$B$5:$BB$14,49,FALSE))/(AC$150-AC$149)*10)))</f>
        <v>9.82</v>
      </c>
      <c r="AD29" s="2">
        <f>IF(VLOOKUP($B29,'Indicator Data (national)'!$B$5:$BB$14,50,FALSE)="No data","x",IF(VLOOKUP($B29,'Indicator Data (national)'!$B$5:$BB$14,50,FALSE)&gt;AD$150,0,IF(VLOOKUP($B29,'Indicator Data (national)'!$B$5:$BB$14,50,FALSE)&lt;AD$149,10,(AD$150-VLOOKUP($B29,'Indicator Data (national)'!$B$5:$BB$14,50,FALSE))/(AD$150-AD$149)*10)))</f>
        <v>9.8960000000000008</v>
      </c>
      <c r="AE29" s="3">
        <f t="shared" si="13"/>
        <v>9.8580000000000005</v>
      </c>
      <c r="AF29" s="2">
        <f>IF(VLOOKUP($B29,'Indicator Data (national)'!$B$5:$BB$14,51,FALSE)="No data","x",IF(VLOOKUP($B29,'Indicator Data (national)'!$B$5:$BB$14,51,FALSE)&gt;AF$150,0,IF(VLOOKUP($B29,'Indicator Data (national)'!$B$5:$BB$14,51,FALSE)&lt;AF$149,10,(AF$150-VLOOKUP($B29,'Indicator Data (national)'!$B$5:$BB$14,51,FALSE))/(AF$150-AF$149)*10)))</f>
        <v>8.444126969850851</v>
      </c>
      <c r="AG29" s="2" t="str">
        <f>IF(VLOOKUP($B29,'Indicator Data (national)'!$B$5:$BB$14,52,FALSE)="No data","x",IF(VLOOKUP($B29,'Indicator Data (national)'!$B$5:$BB$14,52,FALSE)&gt;AG$150,0,IF(VLOOKUP($B29,'Indicator Data (national)'!$B$5:$BB$14,52,FALSE)&lt;AG$149,10,(AG$150-VLOOKUP($B29,'Indicator Data (national)'!$B$5:$BB$14,52,FALSE))/(AG$150-AG$149)*10)))</f>
        <v>x</v>
      </c>
      <c r="AH29" s="2" t="str">
        <f>IF(VLOOKUP($B29,'Indicator Data (national)'!$B$5:$BB$14,53,FALSE)="No data","x",IF(VLOOKUP($B29,'Indicator Data (national)'!$B$5:$BB$14,53,FALSE)&gt;AH$150,0,IF(VLOOKUP($B29,'Indicator Data (national)'!$B$5:$BB$14,53,FALSE)&lt;AH$149,10,(AH$150-VLOOKUP($B29,'Indicator Data (national)'!$B$5:$BB$14,53,FALSE))/(AH$150-AH$149)*10)))</f>
        <v>x</v>
      </c>
      <c r="AI29" s="3">
        <f t="shared" si="14"/>
        <v>8.444126969850851</v>
      </c>
      <c r="AJ29" s="5">
        <f t="shared" si="2"/>
        <v>7.8682099034998716</v>
      </c>
    </row>
    <row r="30" spans="1:36" s="11" customFormat="1" x14ac:dyDescent="0.25">
      <c r="A30" s="16" t="s">
        <v>383</v>
      </c>
      <c r="B30" s="11" t="s">
        <v>574</v>
      </c>
      <c r="C30" s="16" t="s">
        <v>384</v>
      </c>
      <c r="D30" s="120">
        <f>(VLOOKUP($B30,'Indicator Data (national)'!$B$5:$AP$14,39,FALSE)+VLOOKUP($B30,'Indicator Data (national)'!$B$5:$AP$14,40,FALSE)+VLOOKUP($B30,'Indicator Data (national)'!$B$5:$AP$14,41,FALSE))/VLOOKUP($B30,'Indicator Data (national)'!$B$5:$AP$14,38,FALSE)*1000000</f>
        <v>8.8423821693363547E-2</v>
      </c>
      <c r="E30" s="2">
        <f t="shared" si="3"/>
        <v>9.5578808915331823</v>
      </c>
      <c r="F30" s="3">
        <f t="shared" si="4"/>
        <v>9.5578808915331823</v>
      </c>
      <c r="G30" s="2">
        <f>IF(VLOOKUP($B30,'Indicator Data (national)'!$B$5:$AQ$14,30,FALSE)="No data","x",IF(VLOOKUP($B30,'Indicator Data (national)'!$B$5:$AQ$14,30,FALSE)&gt;G$150,10,IF(VLOOKUP($B30,'Indicator Data (national)'!$B$5:$AQ$14,30,FALSE)&lt;G$149,0,(G$150-VLOOKUP($B30,'Indicator Data (national)'!$B$5:$AQ$14,30,FALSE))/(G$150-G$149)*10)))</f>
        <v>8.1999999999999993</v>
      </c>
      <c r="H30" s="2">
        <f>IF(VLOOKUP($B30,'Indicator Data (national)'!$B$5:$AQ$14,29,FALSE)="No data","x",IF(VLOOKUP($B30,'Indicator Data (national)'!$B$5:$AQ$14,29,FALSE)&gt;H$150,10,IF(VLOOKUP($B30,'Indicator Data (national)'!$B$5:$AQ$14,29,FALSE)&lt;H$149,0,(H$150-VLOOKUP($B30,'Indicator Data (national)'!$B$5:$AQ$14,29,FALSE))/(H$150-H$149)*10)))</f>
        <v>8.086789608001709</v>
      </c>
      <c r="I30" s="3">
        <f t="shared" si="5"/>
        <v>8.1433948040008541</v>
      </c>
      <c r="J30" s="5">
        <f t="shared" si="6"/>
        <v>8.8506378477670182</v>
      </c>
      <c r="K30" s="2">
        <f>IF(VLOOKUP($B30,'Indicator Data (national)'!$B$5:$AQ$14,33,FALSE)="No data","x",IF(VLOOKUP($B30,'Indicator Data (national)'!$B$5:$AQ$14,33,FALSE)&gt;K$150,10,IF(VLOOKUP($B30,'Indicator Data (national)'!$B$5:$AQ$14,33,FALSE)&lt;K$149,0,(K$150-VLOOKUP($B30,'Indicator Data (national)'!$B$5:$AQ$14,33,FALSE))/(K$150-K$149)*10)))</f>
        <v>9.82</v>
      </c>
      <c r="L30" s="2">
        <f>IF(VLOOKUP($B30,'Indicator Data (national)'!$B$5:$AQ$14,34,FALSE)="No data","x",IF(VLOOKUP($B30,'Indicator Data (national)'!$B$5:$AQ$14,34,FALSE)&gt;L$150,10,IF(VLOOKUP($B30,'Indicator Data (national)'!$B$5:$AQ$14,34,FALSE)&lt;L$149,0,(L$150-VLOOKUP($B30,'Indicator Data (national)'!$B$5:$AQ$14,34,FALSE))/(L$150-L$149)*10)))</f>
        <v>9.4397024538400025</v>
      </c>
      <c r="M30" s="3">
        <f t="shared" si="7"/>
        <v>9.6298512269200014</v>
      </c>
      <c r="N30" s="2">
        <f>IF(VLOOKUP($B30,'Indicator Data (national)'!$B$5:$AS$14,44,FALSE)="No data","x",IF(VLOOKUP($B30,'Indicator Data (national)'!$B$5:$AS$14,44,FALSE)&gt;N$150,10,IF(VLOOKUP($B30,'Indicator Data (national)'!$B$5:$AS$14,44,FALSE)&lt;N$149,0,10-(N$150-VLOOKUP($B30,'Indicator Data (national)'!$B$5:$AS$14,44,FALSE))/(N$150-N$149)*10)))</f>
        <v>2.1333333333333337</v>
      </c>
      <c r="O30" s="2">
        <f>IF(VLOOKUP($B30,'Indicator Data (national)'!$B$5:$AS$14,42,FALSE)="No data","x",IF(VLOOKUP($B30,'Indicator Data (national)'!$B$5:$AS$14,42,FALSE)&gt;O$150,0,IF(VLOOKUP($B30,'Indicator Data (national)'!$B$5:$AS$14,42,FALSE)&lt;O$149,10,(O$150-VLOOKUP($B30,'Indicator Data (national)'!$B$5:$AS$14,42,FALSE))/(O$150-O$149)*10)))</f>
        <v>9.8657718167785227</v>
      </c>
      <c r="P30" s="158">
        <f t="shared" si="8"/>
        <v>5.9995525750559278</v>
      </c>
      <c r="Q30" s="2" t="str">
        <f>IF(VLOOKUP($B30,'Indicator Data (national)'!$B$5:$Q$14,16,FALSE)="No data","x",IF(VLOOKUP($B30,'Indicator Data (national)'!$B$5:$Q$14,16,FALSE)&gt;Q$150,0,IF(VLOOKUP($B30,'Indicator Data (national)'!$B$5:$Q$14,16,FALSE)&lt;Q$149,10,(Q$150-VLOOKUP($B30,'Indicator Data (national)'!$B$5:$Q$14,16,FALSE))/(Q$150-Q$149)*10)))</f>
        <v>x</v>
      </c>
      <c r="R30" s="158" t="str">
        <f t="shared" si="9"/>
        <v>x</v>
      </c>
      <c r="S30" s="3">
        <f t="shared" si="0"/>
        <v>5.9995525750559278</v>
      </c>
      <c r="T30" s="2" t="str">
        <f>IF(VLOOKUP($B30,'Indicator Data (national)'!$B$5:$BC$14,43,FALSE)="No data","x",IF(VLOOKUP($B30,'Indicator Data (national)'!$B$5:$BC$14,43,FALSE)&gt;T$150,10,IF(VLOOKUP($B30,'Indicator Data (national)'!$B$5:$BC$14,43,FALSE)&lt;T$149,0,(T$150-VLOOKUP($B30,'Indicator Data (national)'!$B$5:$BC$14,43,FALSE))/(T$150-T$149)*10)))</f>
        <v>x</v>
      </c>
      <c r="U30" s="3" t="str">
        <f t="shared" si="10"/>
        <v>x</v>
      </c>
      <c r="V30" s="5">
        <f t="shared" si="1"/>
        <v>7.8147019009879646</v>
      </c>
      <c r="W30" s="2">
        <f>IF(VLOOKUP($B30,'Indicator Data (national)'!$B$5:$AS$14,37,FALSE)="No data","x",IF(VLOOKUP($B30,'Indicator Data (national)'!$B$5:$AS$14,37,FALSE)&gt;W$150,10,IF(VLOOKUP($B30,'Indicator Data (national)'!$B$5:$AS$14,37,FALSE)&lt;W$149,0,(LOG(W$150)-LOG(VLOOKUP($B30,'Indicator Data (national)'!$B$5:$AS$14,37,FALSE)))/(LOG(W$150)-LOG(W$149))*10)))</f>
        <v>9.2716806695832812</v>
      </c>
      <c r="X30" s="2">
        <f>IF(VLOOKUP($B30,'Indicator Data (national)'!$B$5:$BB$14,45,FALSE)="No data","x",IF(VLOOKUP($B30,'Indicator Data (national)'!$B$5:$BB$14,45,FALSE)&gt;X$150,10,IF(VLOOKUP($B30,'Indicator Data (national)'!$B$5:$BB$14,45,FALSE)&lt;X$149,0,10-(X$150-VLOOKUP($B30,'Indicator Data (national)'!$B$5:$BB$14,45,FALSE))/(X$150-X$149)*10)))</f>
        <v>2.2222222222222223</v>
      </c>
      <c r="Y30" s="2">
        <f>IF(VLOOKUP($B30,'Indicator Data (national)'!$B$5:$BB$14,46,FALSE)="No data","x",IF(VLOOKUP($B30,'Indicator Data (national)'!$B$5:$BB$14,46,FALSE)&gt;Y$150,10,IF(VLOOKUP($B30,'Indicator Data (national)'!$B$5:$BB$14,46,FALSE)&lt;Y$149,0,(Y$150-VLOOKUP($B30,'Indicator Data (national)'!$B$5:$BB$14,46,FALSE))/(Y$150-Y$149)*10)))</f>
        <v>0.6</v>
      </c>
      <c r="Z30" s="156">
        <f>IF(VLOOKUP($B30,'Indicator Data (national)'!$B$5:$BB$14,48,FALSE)="No data","x",VLOOKUP($B30,'Indicator Data (national)'!$B$5:$BB$14,47,FALSE)*VLOOKUP($B30,'Indicator Data (national)'!$B$5:$BB$14,48,FALSE))</f>
        <v>8.8389192921043698</v>
      </c>
      <c r="AA30" s="2">
        <f t="shared" si="11"/>
        <v>9.1161080707895632</v>
      </c>
      <c r="AB30" s="3">
        <f t="shared" si="12"/>
        <v>5.3025027406487668</v>
      </c>
      <c r="AC30" s="2">
        <f>IF(VLOOKUP($B30,'Indicator Data (national)'!$B$5:$BB$14,49,FALSE)="No data","x",IF(VLOOKUP($B30,'Indicator Data (national)'!$B$5:$BB$14,49,FALSE)&gt;AC$150,0,IF(VLOOKUP($B30,'Indicator Data (national)'!$B$5:$BB$14,49,FALSE)&lt;AC$149,10,(AC$150-VLOOKUP($B30,'Indicator Data (national)'!$B$5:$BB$14,49,FALSE))/(AC$150-AC$149)*10)))</f>
        <v>9.82</v>
      </c>
      <c r="AD30" s="2">
        <f>IF(VLOOKUP($B30,'Indicator Data (national)'!$B$5:$BB$14,50,FALSE)="No data","x",IF(VLOOKUP($B30,'Indicator Data (national)'!$B$5:$BB$14,50,FALSE)&gt;AD$150,0,IF(VLOOKUP($B30,'Indicator Data (national)'!$B$5:$BB$14,50,FALSE)&lt;AD$149,10,(AD$150-VLOOKUP($B30,'Indicator Data (national)'!$B$5:$BB$14,50,FALSE))/(AD$150-AD$149)*10)))</f>
        <v>9.8960000000000008</v>
      </c>
      <c r="AE30" s="3">
        <f t="shared" si="13"/>
        <v>9.8580000000000005</v>
      </c>
      <c r="AF30" s="2">
        <f>IF(VLOOKUP($B30,'Indicator Data (national)'!$B$5:$BB$14,51,FALSE)="No data","x",IF(VLOOKUP($B30,'Indicator Data (national)'!$B$5:$BB$14,51,FALSE)&gt;AF$150,0,IF(VLOOKUP($B30,'Indicator Data (national)'!$B$5:$BB$14,51,FALSE)&lt;AF$149,10,(AF$150-VLOOKUP($B30,'Indicator Data (national)'!$B$5:$BB$14,51,FALSE))/(AF$150-AF$149)*10)))</f>
        <v>8.444126969850851</v>
      </c>
      <c r="AG30" s="2" t="str">
        <f>IF(VLOOKUP($B30,'Indicator Data (national)'!$B$5:$BB$14,52,FALSE)="No data","x",IF(VLOOKUP($B30,'Indicator Data (national)'!$B$5:$BB$14,52,FALSE)&gt;AG$150,0,IF(VLOOKUP($B30,'Indicator Data (national)'!$B$5:$BB$14,52,FALSE)&lt;AG$149,10,(AG$150-VLOOKUP($B30,'Indicator Data (national)'!$B$5:$BB$14,52,FALSE))/(AG$150-AG$149)*10)))</f>
        <v>x</v>
      </c>
      <c r="AH30" s="2" t="str">
        <f>IF(VLOOKUP($B30,'Indicator Data (national)'!$B$5:$BB$14,53,FALSE)="No data","x",IF(VLOOKUP($B30,'Indicator Data (national)'!$B$5:$BB$14,53,FALSE)&gt;AH$150,0,IF(VLOOKUP($B30,'Indicator Data (national)'!$B$5:$BB$14,53,FALSE)&lt;AH$149,10,(AH$150-VLOOKUP($B30,'Indicator Data (national)'!$B$5:$BB$14,53,FALSE))/(AH$150-AH$149)*10)))</f>
        <v>x</v>
      </c>
      <c r="AI30" s="3">
        <f t="shared" si="14"/>
        <v>8.444126969850851</v>
      </c>
      <c r="AJ30" s="5">
        <f t="shared" si="2"/>
        <v>7.8682099034998716</v>
      </c>
    </row>
    <row r="31" spans="1:36" s="11" customFormat="1" x14ac:dyDescent="0.25">
      <c r="A31" s="16" t="s">
        <v>386</v>
      </c>
      <c r="B31" s="11" t="s">
        <v>575</v>
      </c>
      <c r="C31" s="16" t="s">
        <v>387</v>
      </c>
      <c r="D31" s="120">
        <f>(VLOOKUP($B31,'Indicator Data (national)'!$B$5:$AP$14,39,FALSE)+VLOOKUP($B31,'Indicator Data (national)'!$B$5:$AP$14,40,FALSE)+VLOOKUP($B31,'Indicator Data (national)'!$B$5:$AP$14,41,FALSE))/VLOOKUP($B31,'Indicator Data (national)'!$B$5:$AP$14,38,FALSE)*1000000</f>
        <v>0.39744632869899588</v>
      </c>
      <c r="E31" s="2">
        <f t="shared" si="3"/>
        <v>8.0127683565050205</v>
      </c>
      <c r="F31" s="3">
        <f t="shared" si="4"/>
        <v>8.0127683565050205</v>
      </c>
      <c r="G31" s="2">
        <f>IF(VLOOKUP($B31,'Indicator Data (national)'!$B$5:$AQ$14,30,FALSE)="No data","x",IF(VLOOKUP($B31,'Indicator Data (national)'!$B$5:$AQ$14,30,FALSE)&gt;G$150,10,IF(VLOOKUP($B31,'Indicator Data (national)'!$B$5:$AQ$14,30,FALSE)&lt;G$149,0,(G$150-VLOOKUP($B31,'Indicator Data (national)'!$B$5:$AQ$14,30,FALSE))/(G$150-G$149)*10)))</f>
        <v>6.7</v>
      </c>
      <c r="H31" s="2">
        <f>IF(VLOOKUP($B31,'Indicator Data (national)'!$B$5:$AQ$14,29,FALSE)="No data","x",IF(VLOOKUP($B31,'Indicator Data (national)'!$B$5:$AQ$14,29,FALSE)&gt;H$150,10,IF(VLOOKUP($B31,'Indicator Data (national)'!$B$5:$AQ$14,29,FALSE)&lt;H$149,0,(H$150-VLOOKUP($B31,'Indicator Data (national)'!$B$5:$AQ$14,29,FALSE))/(H$150-H$149)*10)))</f>
        <v>6.0389294624328613</v>
      </c>
      <c r="I31" s="3">
        <f t="shared" si="5"/>
        <v>6.3694647312164303</v>
      </c>
      <c r="J31" s="5">
        <f t="shared" si="6"/>
        <v>7.1911165438607254</v>
      </c>
      <c r="K31" s="2">
        <f>IF(VLOOKUP($B31,'Indicator Data (national)'!$B$5:$AQ$14,33,FALSE)="No data","x",IF(VLOOKUP($B31,'Indicator Data (national)'!$B$5:$AQ$14,33,FALSE)&gt;K$150,10,IF(VLOOKUP($B31,'Indicator Data (national)'!$B$5:$AQ$14,33,FALSE)&lt;K$149,0,(K$150-VLOOKUP($B31,'Indicator Data (national)'!$B$5:$AQ$14,33,FALSE))/(K$150-K$149)*10)))</f>
        <v>9.620000000000001</v>
      </c>
      <c r="L31" s="2">
        <f>IF(VLOOKUP($B31,'Indicator Data (national)'!$B$5:$AQ$14,34,FALSE)="No data","x",IF(VLOOKUP($B31,'Indicator Data (national)'!$B$5:$AQ$14,34,FALSE)&gt;L$150,10,IF(VLOOKUP($B31,'Indicator Data (national)'!$B$5:$AQ$14,34,FALSE)&lt;L$149,0,(L$150-VLOOKUP($B31,'Indicator Data (national)'!$B$5:$AQ$14,34,FALSE))/(L$150-L$149)*10)))</f>
        <v>7.2745314607249298</v>
      </c>
      <c r="M31" s="3">
        <f t="shared" si="7"/>
        <v>8.4472657303624654</v>
      </c>
      <c r="N31" s="2">
        <f>IF(VLOOKUP($B31,'Indicator Data (national)'!$B$5:$AS$14,44,FALSE)="No data","x",IF(VLOOKUP($B31,'Indicator Data (national)'!$B$5:$AS$14,44,FALSE)&gt;N$150,10,IF(VLOOKUP($B31,'Indicator Data (national)'!$B$5:$AS$14,44,FALSE)&lt;N$149,0,10-(N$150-VLOOKUP($B31,'Indicator Data (national)'!$B$5:$AS$14,44,FALSE))/(N$150-N$149)*10)))</f>
        <v>3.7333333333333325</v>
      </c>
      <c r="O31" s="2">
        <f>IF(VLOOKUP($B31,'Indicator Data (national)'!$B$5:$AS$14,42,FALSE)="No data","x",IF(VLOOKUP($B31,'Indicator Data (national)'!$B$5:$AS$14,42,FALSE)&gt;O$150,0,IF(VLOOKUP($B31,'Indicator Data (national)'!$B$5:$AS$14,42,FALSE)&lt;O$149,10,(O$150-VLOOKUP($B31,'Indicator Data (national)'!$B$5:$AS$14,42,FALSE))/(O$150-O$149)*10)))</f>
        <v>9.7986577181208059</v>
      </c>
      <c r="P31" s="158">
        <f t="shared" si="8"/>
        <v>6.7659955257270692</v>
      </c>
      <c r="Q31" s="2">
        <f>IF(VLOOKUP($B31,'Indicator Data (national)'!$B$5:$Q$14,16,FALSE)="No data","x",IF(VLOOKUP($B31,'Indicator Data (national)'!$B$5:$Q$14,16,FALSE)&gt;Q$150,0,IF(VLOOKUP($B31,'Indicator Data (national)'!$B$5:$Q$14,16,FALSE)&lt;Q$149,10,(Q$150-VLOOKUP($B31,'Indicator Data (national)'!$B$5:$Q$14,16,FALSE))/(Q$150-Q$149)*10)))</f>
        <v>9.6999999999999993</v>
      </c>
      <c r="R31" s="158">
        <f t="shared" si="9"/>
        <v>9.6999999999999993</v>
      </c>
      <c r="S31" s="3">
        <f t="shared" si="0"/>
        <v>8.2329977628635334</v>
      </c>
      <c r="T31" s="2">
        <f>IF(VLOOKUP($B31,'Indicator Data (national)'!$B$5:$BC$14,43,FALSE)="No data","x",IF(VLOOKUP($B31,'Indicator Data (national)'!$B$5:$BC$14,43,FALSE)&gt;T$150,10,IF(VLOOKUP($B31,'Indicator Data (national)'!$B$5:$BC$14,43,FALSE)&lt;T$149,0,(T$150-VLOOKUP($B31,'Indicator Data (national)'!$B$5:$BC$14,43,FALSE))/(T$150-T$149)*10)))</f>
        <v>8.4059639223302298</v>
      </c>
      <c r="U31" s="3">
        <f t="shared" si="10"/>
        <v>8.4059639223302298</v>
      </c>
      <c r="V31" s="5">
        <f t="shared" si="1"/>
        <v>8.3620758051854107</v>
      </c>
      <c r="W31" s="2">
        <f>IF(VLOOKUP($B31,'Indicator Data (national)'!$B$5:$AS$14,37,FALSE)="No data","x",IF(VLOOKUP($B31,'Indicator Data (national)'!$B$5:$AS$14,37,FALSE)&gt;W$150,10,IF(VLOOKUP($B31,'Indicator Data (national)'!$B$5:$AS$14,37,FALSE)&lt;W$149,0,(LOG(W$150)-LOG(VLOOKUP($B31,'Indicator Data (national)'!$B$5:$AS$14,37,FALSE)))/(LOG(W$150)-LOG(W$149))*10)))</f>
        <v>8.5251580015512456</v>
      </c>
      <c r="X31" s="2">
        <f>IF(VLOOKUP($B31,'Indicator Data (national)'!$B$5:$BB$14,45,FALSE)="No data","x",IF(VLOOKUP($B31,'Indicator Data (national)'!$B$5:$BB$14,45,FALSE)&gt;X$150,10,IF(VLOOKUP($B31,'Indicator Data (national)'!$B$5:$BB$14,45,FALSE)&lt;X$149,0,10-(X$150-VLOOKUP($B31,'Indicator Data (national)'!$B$5:$BB$14,45,FALSE))/(X$150-X$149)*10)))</f>
        <v>2.4444444444444446</v>
      </c>
      <c r="Y31" s="2">
        <f>IF(VLOOKUP($B31,'Indicator Data (national)'!$B$5:$BB$14,46,FALSE)="No data","x",IF(VLOOKUP($B31,'Indicator Data (national)'!$B$5:$BB$14,46,FALSE)&gt;Y$150,10,IF(VLOOKUP($B31,'Indicator Data (national)'!$B$5:$BB$14,46,FALSE)&lt;Y$149,0,(Y$150-VLOOKUP($B31,'Indicator Data (national)'!$B$5:$BB$14,46,FALSE))/(Y$150-Y$149)*10)))</f>
        <v>0.6</v>
      </c>
      <c r="Z31" s="156">
        <f>IF(VLOOKUP($B31,'Indicator Data (national)'!$B$5:$BB$14,48,FALSE)="No data","x",VLOOKUP($B31,'Indicator Data (national)'!$B$5:$BB$14,47,FALSE)*VLOOKUP($B31,'Indicator Data (national)'!$B$5:$BB$14,48,FALSE))</f>
        <v>12.920515991268807</v>
      </c>
      <c r="AA31" s="2">
        <f t="shared" si="11"/>
        <v>8.7079484008731196</v>
      </c>
      <c r="AB31" s="3">
        <f t="shared" si="12"/>
        <v>5.0693877117172024</v>
      </c>
      <c r="AC31" s="2">
        <f>IF(VLOOKUP($B31,'Indicator Data (national)'!$B$5:$BB$14,49,FALSE)="No data","x",IF(VLOOKUP($B31,'Indicator Data (national)'!$B$5:$BB$14,49,FALSE)&gt;AC$150,0,IF(VLOOKUP($B31,'Indicator Data (national)'!$B$5:$BB$14,49,FALSE)&lt;AC$149,10,(AC$150-VLOOKUP($B31,'Indicator Data (national)'!$B$5:$BB$14,49,FALSE))/(AC$150-AC$149)*10)))</f>
        <v>9.7799999999999994</v>
      </c>
      <c r="AD31" s="2">
        <f>IF(VLOOKUP($B31,'Indicator Data (national)'!$B$5:$BB$14,50,FALSE)="No data","x",IF(VLOOKUP($B31,'Indicator Data (national)'!$B$5:$BB$14,50,FALSE)&gt;AD$150,0,IF(VLOOKUP($B31,'Indicator Data (national)'!$B$5:$BB$14,50,FALSE)&lt;AD$149,10,(AD$150-VLOOKUP($B31,'Indicator Data (national)'!$B$5:$BB$14,50,FALSE))/(AD$150-AD$149)*10)))</f>
        <v>9.8960000000000008</v>
      </c>
      <c r="AE31" s="3">
        <f t="shared" si="13"/>
        <v>9.838000000000001</v>
      </c>
      <c r="AF31" s="2">
        <f>IF(VLOOKUP($B31,'Indicator Data (national)'!$B$5:$BB$14,51,FALSE)="No data","x",IF(VLOOKUP($B31,'Indicator Data (national)'!$B$5:$BB$14,51,FALSE)&gt;AF$150,0,IF(VLOOKUP($B31,'Indicator Data (national)'!$B$5:$BB$14,51,FALSE)&lt;AF$149,10,(AF$150-VLOOKUP($B31,'Indicator Data (national)'!$B$5:$BB$14,51,FALSE))/(AF$150-AF$149)*10)))</f>
        <v>6.7838131480000001</v>
      </c>
      <c r="AG31" s="2" t="str">
        <f>IF(VLOOKUP($B31,'Indicator Data (national)'!$B$5:$BB$14,52,FALSE)="No data","x",IF(VLOOKUP($B31,'Indicator Data (national)'!$B$5:$BB$14,52,FALSE)&gt;AG$150,0,IF(VLOOKUP($B31,'Indicator Data (national)'!$B$5:$BB$14,52,FALSE)&lt;AG$149,10,(AG$150-VLOOKUP($B31,'Indicator Data (national)'!$B$5:$BB$14,52,FALSE))/(AG$150-AG$149)*10)))</f>
        <v>x</v>
      </c>
      <c r="AH31" s="2">
        <f>IF(VLOOKUP($B31,'Indicator Data (national)'!$B$5:$BB$14,53,FALSE)="No data","x",IF(VLOOKUP($B31,'Indicator Data (national)'!$B$5:$BB$14,53,FALSE)&gt;AH$150,0,IF(VLOOKUP($B31,'Indicator Data (national)'!$B$5:$BB$14,53,FALSE)&lt;AH$149,10,(AH$150-VLOOKUP($B31,'Indicator Data (national)'!$B$5:$BB$14,53,FALSE))/(AH$150-AH$149)*10)))</f>
        <v>7.1168308930766724</v>
      </c>
      <c r="AI31" s="3">
        <f t="shared" si="14"/>
        <v>6.9503220205383363</v>
      </c>
      <c r="AJ31" s="5">
        <f t="shared" si="2"/>
        <v>7.2859032440851799</v>
      </c>
    </row>
    <row r="32" spans="1:36" s="11" customFormat="1" x14ac:dyDescent="0.25">
      <c r="A32" s="16" t="s">
        <v>388</v>
      </c>
      <c r="B32" s="11" t="s">
        <v>575</v>
      </c>
      <c r="C32" s="16" t="s">
        <v>389</v>
      </c>
      <c r="D32" s="120">
        <f>(VLOOKUP($B32,'Indicator Data (national)'!$B$5:$AP$14,39,FALSE)+VLOOKUP($B32,'Indicator Data (national)'!$B$5:$AP$14,40,FALSE)+VLOOKUP($B32,'Indicator Data (national)'!$B$5:$AP$14,41,FALSE))/VLOOKUP($B32,'Indicator Data (national)'!$B$5:$AP$14,38,FALSE)*1000000</f>
        <v>0.39744632869899588</v>
      </c>
      <c r="E32" s="2">
        <f t="shared" si="3"/>
        <v>8.0127683565050205</v>
      </c>
      <c r="F32" s="3">
        <f t="shared" si="4"/>
        <v>8.0127683565050205</v>
      </c>
      <c r="G32" s="2">
        <f>IF(VLOOKUP($B32,'Indicator Data (national)'!$B$5:$AQ$14,30,FALSE)="No data","x",IF(VLOOKUP($B32,'Indicator Data (national)'!$B$5:$AQ$14,30,FALSE)&gt;G$150,10,IF(VLOOKUP($B32,'Indicator Data (national)'!$B$5:$AQ$14,30,FALSE)&lt;G$149,0,(G$150-VLOOKUP($B32,'Indicator Data (national)'!$B$5:$AQ$14,30,FALSE))/(G$150-G$149)*10)))</f>
        <v>6.7</v>
      </c>
      <c r="H32" s="2">
        <f>IF(VLOOKUP($B32,'Indicator Data (national)'!$B$5:$AQ$14,29,FALSE)="No data","x",IF(VLOOKUP($B32,'Indicator Data (national)'!$B$5:$AQ$14,29,FALSE)&gt;H$150,10,IF(VLOOKUP($B32,'Indicator Data (national)'!$B$5:$AQ$14,29,FALSE)&lt;H$149,0,(H$150-VLOOKUP($B32,'Indicator Data (national)'!$B$5:$AQ$14,29,FALSE))/(H$150-H$149)*10)))</f>
        <v>6.0389294624328613</v>
      </c>
      <c r="I32" s="3">
        <f t="shared" si="5"/>
        <v>6.3694647312164303</v>
      </c>
      <c r="J32" s="5">
        <f t="shared" si="6"/>
        <v>7.1911165438607254</v>
      </c>
      <c r="K32" s="2">
        <f>IF(VLOOKUP($B32,'Indicator Data (national)'!$B$5:$AQ$14,33,FALSE)="No data","x",IF(VLOOKUP($B32,'Indicator Data (national)'!$B$5:$AQ$14,33,FALSE)&gt;K$150,10,IF(VLOOKUP($B32,'Indicator Data (national)'!$B$5:$AQ$14,33,FALSE)&lt;K$149,0,(K$150-VLOOKUP($B32,'Indicator Data (national)'!$B$5:$AQ$14,33,FALSE))/(K$150-K$149)*10)))</f>
        <v>9.620000000000001</v>
      </c>
      <c r="L32" s="2">
        <f>IF(VLOOKUP($B32,'Indicator Data (national)'!$B$5:$AQ$14,34,FALSE)="No data","x",IF(VLOOKUP($B32,'Indicator Data (national)'!$B$5:$AQ$14,34,FALSE)&gt;L$150,10,IF(VLOOKUP($B32,'Indicator Data (national)'!$B$5:$AQ$14,34,FALSE)&lt;L$149,0,(L$150-VLOOKUP($B32,'Indicator Data (national)'!$B$5:$AQ$14,34,FALSE))/(L$150-L$149)*10)))</f>
        <v>7.2745314607249298</v>
      </c>
      <c r="M32" s="3">
        <f t="shared" si="7"/>
        <v>8.4472657303624654</v>
      </c>
      <c r="N32" s="2">
        <f>IF(VLOOKUP($B32,'Indicator Data (national)'!$B$5:$AS$14,44,FALSE)="No data","x",IF(VLOOKUP($B32,'Indicator Data (national)'!$B$5:$AS$14,44,FALSE)&gt;N$150,10,IF(VLOOKUP($B32,'Indicator Data (national)'!$B$5:$AS$14,44,FALSE)&lt;N$149,0,10-(N$150-VLOOKUP($B32,'Indicator Data (national)'!$B$5:$AS$14,44,FALSE))/(N$150-N$149)*10)))</f>
        <v>3.7333333333333325</v>
      </c>
      <c r="O32" s="2">
        <f>IF(VLOOKUP($B32,'Indicator Data (national)'!$B$5:$AS$14,42,FALSE)="No data","x",IF(VLOOKUP($B32,'Indicator Data (national)'!$B$5:$AS$14,42,FALSE)&gt;O$150,0,IF(VLOOKUP($B32,'Indicator Data (national)'!$B$5:$AS$14,42,FALSE)&lt;O$149,10,(O$150-VLOOKUP($B32,'Indicator Data (national)'!$B$5:$AS$14,42,FALSE))/(O$150-O$149)*10)))</f>
        <v>9.7986577181208059</v>
      </c>
      <c r="P32" s="158">
        <f t="shared" si="8"/>
        <v>6.7659955257270692</v>
      </c>
      <c r="Q32" s="2">
        <f>IF(VLOOKUP($B32,'Indicator Data (national)'!$B$5:$Q$14,16,FALSE)="No data","x",IF(VLOOKUP($B32,'Indicator Data (national)'!$B$5:$Q$14,16,FALSE)&gt;Q$150,0,IF(VLOOKUP($B32,'Indicator Data (national)'!$B$5:$Q$14,16,FALSE)&lt;Q$149,10,(Q$150-VLOOKUP($B32,'Indicator Data (national)'!$B$5:$Q$14,16,FALSE))/(Q$150-Q$149)*10)))</f>
        <v>9.6999999999999993</v>
      </c>
      <c r="R32" s="158">
        <f t="shared" si="9"/>
        <v>9.6999999999999993</v>
      </c>
      <c r="S32" s="3">
        <f t="shared" si="0"/>
        <v>8.2329977628635334</v>
      </c>
      <c r="T32" s="2">
        <f>IF(VLOOKUP($B32,'Indicator Data (national)'!$B$5:$BC$14,43,FALSE)="No data","x",IF(VLOOKUP($B32,'Indicator Data (national)'!$B$5:$BC$14,43,FALSE)&gt;T$150,10,IF(VLOOKUP($B32,'Indicator Data (national)'!$B$5:$BC$14,43,FALSE)&lt;T$149,0,(T$150-VLOOKUP($B32,'Indicator Data (national)'!$B$5:$BC$14,43,FALSE))/(T$150-T$149)*10)))</f>
        <v>8.4059639223302298</v>
      </c>
      <c r="U32" s="3">
        <f t="shared" si="10"/>
        <v>8.4059639223302298</v>
      </c>
      <c r="V32" s="5">
        <f t="shared" si="1"/>
        <v>8.3620758051854107</v>
      </c>
      <c r="W32" s="2">
        <f>IF(VLOOKUP($B32,'Indicator Data (national)'!$B$5:$AS$14,37,FALSE)="No data","x",IF(VLOOKUP($B32,'Indicator Data (national)'!$B$5:$AS$14,37,FALSE)&gt;W$150,10,IF(VLOOKUP($B32,'Indicator Data (national)'!$B$5:$AS$14,37,FALSE)&lt;W$149,0,(LOG(W$150)-LOG(VLOOKUP($B32,'Indicator Data (national)'!$B$5:$AS$14,37,FALSE)))/(LOG(W$150)-LOG(W$149))*10)))</f>
        <v>8.5251580015512456</v>
      </c>
      <c r="X32" s="2">
        <f>IF(VLOOKUP($B32,'Indicator Data (national)'!$B$5:$BB$14,45,FALSE)="No data","x",IF(VLOOKUP($B32,'Indicator Data (national)'!$B$5:$BB$14,45,FALSE)&gt;X$150,10,IF(VLOOKUP($B32,'Indicator Data (national)'!$B$5:$BB$14,45,FALSE)&lt;X$149,0,10-(X$150-VLOOKUP($B32,'Indicator Data (national)'!$B$5:$BB$14,45,FALSE))/(X$150-X$149)*10)))</f>
        <v>2.4444444444444446</v>
      </c>
      <c r="Y32" s="2">
        <f>IF(VLOOKUP($B32,'Indicator Data (national)'!$B$5:$BB$14,46,FALSE)="No data","x",IF(VLOOKUP($B32,'Indicator Data (national)'!$B$5:$BB$14,46,FALSE)&gt;Y$150,10,IF(VLOOKUP($B32,'Indicator Data (national)'!$B$5:$BB$14,46,FALSE)&lt;Y$149,0,(Y$150-VLOOKUP($B32,'Indicator Data (national)'!$B$5:$BB$14,46,FALSE))/(Y$150-Y$149)*10)))</f>
        <v>0.6</v>
      </c>
      <c r="Z32" s="156">
        <f>IF(VLOOKUP($B32,'Indicator Data (national)'!$B$5:$BB$14,48,FALSE)="No data","x",VLOOKUP($B32,'Indicator Data (national)'!$B$5:$BB$14,47,FALSE)*VLOOKUP($B32,'Indicator Data (national)'!$B$5:$BB$14,48,FALSE))</f>
        <v>12.920515991268807</v>
      </c>
      <c r="AA32" s="2">
        <f t="shared" si="11"/>
        <v>8.7079484008731196</v>
      </c>
      <c r="AB32" s="3">
        <f t="shared" si="12"/>
        <v>5.0693877117172024</v>
      </c>
      <c r="AC32" s="2">
        <f>IF(VLOOKUP($B32,'Indicator Data (national)'!$B$5:$BB$14,49,FALSE)="No data","x",IF(VLOOKUP($B32,'Indicator Data (national)'!$B$5:$BB$14,49,FALSE)&gt;AC$150,0,IF(VLOOKUP($B32,'Indicator Data (national)'!$B$5:$BB$14,49,FALSE)&lt;AC$149,10,(AC$150-VLOOKUP($B32,'Indicator Data (national)'!$B$5:$BB$14,49,FALSE))/(AC$150-AC$149)*10)))</f>
        <v>9.7799999999999994</v>
      </c>
      <c r="AD32" s="2">
        <f>IF(VLOOKUP($B32,'Indicator Data (national)'!$B$5:$BB$14,50,FALSE)="No data","x",IF(VLOOKUP($B32,'Indicator Data (national)'!$B$5:$BB$14,50,FALSE)&gt;AD$150,0,IF(VLOOKUP($B32,'Indicator Data (national)'!$B$5:$BB$14,50,FALSE)&lt;AD$149,10,(AD$150-VLOOKUP($B32,'Indicator Data (national)'!$B$5:$BB$14,50,FALSE))/(AD$150-AD$149)*10)))</f>
        <v>9.8960000000000008</v>
      </c>
      <c r="AE32" s="3">
        <f t="shared" si="13"/>
        <v>9.838000000000001</v>
      </c>
      <c r="AF32" s="2">
        <f>IF(VLOOKUP($B32,'Indicator Data (national)'!$B$5:$BB$14,51,FALSE)="No data","x",IF(VLOOKUP($B32,'Indicator Data (national)'!$B$5:$BB$14,51,FALSE)&gt;AF$150,0,IF(VLOOKUP($B32,'Indicator Data (national)'!$B$5:$BB$14,51,FALSE)&lt;AF$149,10,(AF$150-VLOOKUP($B32,'Indicator Data (national)'!$B$5:$BB$14,51,FALSE))/(AF$150-AF$149)*10)))</f>
        <v>6.7838131480000001</v>
      </c>
      <c r="AG32" s="2" t="str">
        <f>IF(VLOOKUP($B32,'Indicator Data (national)'!$B$5:$BB$14,52,FALSE)="No data","x",IF(VLOOKUP($B32,'Indicator Data (national)'!$B$5:$BB$14,52,FALSE)&gt;AG$150,0,IF(VLOOKUP($B32,'Indicator Data (national)'!$B$5:$BB$14,52,FALSE)&lt;AG$149,10,(AG$150-VLOOKUP($B32,'Indicator Data (national)'!$B$5:$BB$14,52,FALSE))/(AG$150-AG$149)*10)))</f>
        <v>x</v>
      </c>
      <c r="AH32" s="2">
        <f>IF(VLOOKUP($B32,'Indicator Data (national)'!$B$5:$BB$14,53,FALSE)="No data","x",IF(VLOOKUP($B32,'Indicator Data (national)'!$B$5:$BB$14,53,FALSE)&gt;AH$150,0,IF(VLOOKUP($B32,'Indicator Data (national)'!$B$5:$BB$14,53,FALSE)&lt;AH$149,10,(AH$150-VLOOKUP($B32,'Indicator Data (national)'!$B$5:$BB$14,53,FALSE))/(AH$150-AH$149)*10)))</f>
        <v>7.1168308930766724</v>
      </c>
      <c r="AI32" s="3">
        <f t="shared" si="14"/>
        <v>6.9503220205383363</v>
      </c>
      <c r="AJ32" s="5">
        <f t="shared" si="2"/>
        <v>7.2859032440851799</v>
      </c>
    </row>
    <row r="33" spans="1:36" s="11" customFormat="1" x14ac:dyDescent="0.25">
      <c r="A33" s="16" t="s">
        <v>390</v>
      </c>
      <c r="B33" s="11" t="s">
        <v>575</v>
      </c>
      <c r="C33" s="16" t="s">
        <v>391</v>
      </c>
      <c r="D33" s="120">
        <f>(VLOOKUP($B33,'Indicator Data (national)'!$B$5:$AP$14,39,FALSE)+VLOOKUP($B33,'Indicator Data (national)'!$B$5:$AP$14,40,FALSE)+VLOOKUP($B33,'Indicator Data (national)'!$B$5:$AP$14,41,FALSE))/VLOOKUP($B33,'Indicator Data (national)'!$B$5:$AP$14,38,FALSE)*1000000</f>
        <v>0.39744632869899588</v>
      </c>
      <c r="E33" s="2">
        <f t="shared" si="3"/>
        <v>8.0127683565050205</v>
      </c>
      <c r="F33" s="3">
        <f t="shared" si="4"/>
        <v>8.0127683565050205</v>
      </c>
      <c r="G33" s="2">
        <f>IF(VLOOKUP($B33,'Indicator Data (national)'!$B$5:$AQ$14,30,FALSE)="No data","x",IF(VLOOKUP($B33,'Indicator Data (national)'!$B$5:$AQ$14,30,FALSE)&gt;G$150,10,IF(VLOOKUP($B33,'Indicator Data (national)'!$B$5:$AQ$14,30,FALSE)&lt;G$149,0,(G$150-VLOOKUP($B33,'Indicator Data (national)'!$B$5:$AQ$14,30,FALSE))/(G$150-G$149)*10)))</f>
        <v>6.7</v>
      </c>
      <c r="H33" s="2">
        <f>IF(VLOOKUP($B33,'Indicator Data (national)'!$B$5:$AQ$14,29,FALSE)="No data","x",IF(VLOOKUP($B33,'Indicator Data (national)'!$B$5:$AQ$14,29,FALSE)&gt;H$150,10,IF(VLOOKUP($B33,'Indicator Data (national)'!$B$5:$AQ$14,29,FALSE)&lt;H$149,0,(H$150-VLOOKUP($B33,'Indicator Data (national)'!$B$5:$AQ$14,29,FALSE))/(H$150-H$149)*10)))</f>
        <v>6.0389294624328613</v>
      </c>
      <c r="I33" s="3">
        <f t="shared" si="5"/>
        <v>6.3694647312164303</v>
      </c>
      <c r="J33" s="5">
        <f t="shared" si="6"/>
        <v>7.1911165438607254</v>
      </c>
      <c r="K33" s="2">
        <f>IF(VLOOKUP($B33,'Indicator Data (national)'!$B$5:$AQ$14,33,FALSE)="No data","x",IF(VLOOKUP($B33,'Indicator Data (national)'!$B$5:$AQ$14,33,FALSE)&gt;K$150,10,IF(VLOOKUP($B33,'Indicator Data (national)'!$B$5:$AQ$14,33,FALSE)&lt;K$149,0,(K$150-VLOOKUP($B33,'Indicator Data (national)'!$B$5:$AQ$14,33,FALSE))/(K$150-K$149)*10)))</f>
        <v>9.620000000000001</v>
      </c>
      <c r="L33" s="2">
        <f>IF(VLOOKUP($B33,'Indicator Data (national)'!$B$5:$AQ$14,34,FALSE)="No data","x",IF(VLOOKUP($B33,'Indicator Data (national)'!$B$5:$AQ$14,34,FALSE)&gt;L$150,10,IF(VLOOKUP($B33,'Indicator Data (national)'!$B$5:$AQ$14,34,FALSE)&lt;L$149,0,(L$150-VLOOKUP($B33,'Indicator Data (national)'!$B$5:$AQ$14,34,FALSE))/(L$150-L$149)*10)))</f>
        <v>7.2745314607249298</v>
      </c>
      <c r="M33" s="3">
        <f t="shared" si="7"/>
        <v>8.4472657303624654</v>
      </c>
      <c r="N33" s="2">
        <f>IF(VLOOKUP($B33,'Indicator Data (national)'!$B$5:$AS$14,44,FALSE)="No data","x",IF(VLOOKUP($B33,'Indicator Data (national)'!$B$5:$AS$14,44,FALSE)&gt;N$150,10,IF(VLOOKUP($B33,'Indicator Data (national)'!$B$5:$AS$14,44,FALSE)&lt;N$149,0,10-(N$150-VLOOKUP($B33,'Indicator Data (national)'!$B$5:$AS$14,44,FALSE))/(N$150-N$149)*10)))</f>
        <v>3.7333333333333325</v>
      </c>
      <c r="O33" s="2">
        <f>IF(VLOOKUP($B33,'Indicator Data (national)'!$B$5:$AS$14,42,FALSE)="No data","x",IF(VLOOKUP($B33,'Indicator Data (national)'!$B$5:$AS$14,42,FALSE)&gt;O$150,0,IF(VLOOKUP($B33,'Indicator Data (national)'!$B$5:$AS$14,42,FALSE)&lt;O$149,10,(O$150-VLOOKUP($B33,'Indicator Data (national)'!$B$5:$AS$14,42,FALSE))/(O$150-O$149)*10)))</f>
        <v>9.7986577181208059</v>
      </c>
      <c r="P33" s="158">
        <f t="shared" si="8"/>
        <v>6.7659955257270692</v>
      </c>
      <c r="Q33" s="2">
        <f>IF(VLOOKUP($B33,'Indicator Data (national)'!$B$5:$Q$14,16,FALSE)="No data","x",IF(VLOOKUP($B33,'Indicator Data (national)'!$B$5:$Q$14,16,FALSE)&gt;Q$150,0,IF(VLOOKUP($B33,'Indicator Data (national)'!$B$5:$Q$14,16,FALSE)&lt;Q$149,10,(Q$150-VLOOKUP($B33,'Indicator Data (national)'!$B$5:$Q$14,16,FALSE))/(Q$150-Q$149)*10)))</f>
        <v>9.6999999999999993</v>
      </c>
      <c r="R33" s="158">
        <f t="shared" si="9"/>
        <v>9.6999999999999993</v>
      </c>
      <c r="S33" s="3">
        <f t="shared" si="0"/>
        <v>8.2329977628635334</v>
      </c>
      <c r="T33" s="2">
        <f>IF(VLOOKUP($B33,'Indicator Data (national)'!$B$5:$BC$14,43,FALSE)="No data","x",IF(VLOOKUP($B33,'Indicator Data (national)'!$B$5:$BC$14,43,FALSE)&gt;T$150,10,IF(VLOOKUP($B33,'Indicator Data (national)'!$B$5:$BC$14,43,FALSE)&lt;T$149,0,(T$150-VLOOKUP($B33,'Indicator Data (national)'!$B$5:$BC$14,43,FALSE))/(T$150-T$149)*10)))</f>
        <v>8.4059639223302298</v>
      </c>
      <c r="U33" s="3">
        <f t="shared" si="10"/>
        <v>8.4059639223302298</v>
      </c>
      <c r="V33" s="5">
        <f t="shared" si="1"/>
        <v>8.3620758051854107</v>
      </c>
      <c r="W33" s="2">
        <f>IF(VLOOKUP($B33,'Indicator Data (national)'!$B$5:$AS$14,37,FALSE)="No data","x",IF(VLOOKUP($B33,'Indicator Data (national)'!$B$5:$AS$14,37,FALSE)&gt;W$150,10,IF(VLOOKUP($B33,'Indicator Data (national)'!$B$5:$AS$14,37,FALSE)&lt;W$149,0,(LOG(W$150)-LOG(VLOOKUP($B33,'Indicator Data (national)'!$B$5:$AS$14,37,FALSE)))/(LOG(W$150)-LOG(W$149))*10)))</f>
        <v>8.5251580015512456</v>
      </c>
      <c r="X33" s="2">
        <f>IF(VLOOKUP($B33,'Indicator Data (national)'!$B$5:$BB$14,45,FALSE)="No data","x",IF(VLOOKUP($B33,'Indicator Data (national)'!$B$5:$BB$14,45,FALSE)&gt;X$150,10,IF(VLOOKUP($B33,'Indicator Data (national)'!$B$5:$BB$14,45,FALSE)&lt;X$149,0,10-(X$150-VLOOKUP($B33,'Indicator Data (national)'!$B$5:$BB$14,45,FALSE))/(X$150-X$149)*10)))</f>
        <v>2.4444444444444446</v>
      </c>
      <c r="Y33" s="2">
        <f>IF(VLOOKUP($B33,'Indicator Data (national)'!$B$5:$BB$14,46,FALSE)="No data","x",IF(VLOOKUP($B33,'Indicator Data (national)'!$B$5:$BB$14,46,FALSE)&gt;Y$150,10,IF(VLOOKUP($B33,'Indicator Data (national)'!$B$5:$BB$14,46,FALSE)&lt;Y$149,0,(Y$150-VLOOKUP($B33,'Indicator Data (national)'!$B$5:$BB$14,46,FALSE))/(Y$150-Y$149)*10)))</f>
        <v>0.6</v>
      </c>
      <c r="Z33" s="156">
        <f>IF(VLOOKUP($B33,'Indicator Data (national)'!$B$5:$BB$14,48,FALSE)="No data","x",VLOOKUP($B33,'Indicator Data (national)'!$B$5:$BB$14,47,FALSE)*VLOOKUP($B33,'Indicator Data (national)'!$B$5:$BB$14,48,FALSE))</f>
        <v>12.920515991268807</v>
      </c>
      <c r="AA33" s="2">
        <f t="shared" si="11"/>
        <v>8.7079484008731196</v>
      </c>
      <c r="AB33" s="3">
        <f t="shared" si="12"/>
        <v>5.0693877117172024</v>
      </c>
      <c r="AC33" s="2">
        <f>IF(VLOOKUP($B33,'Indicator Data (national)'!$B$5:$BB$14,49,FALSE)="No data","x",IF(VLOOKUP($B33,'Indicator Data (national)'!$B$5:$BB$14,49,FALSE)&gt;AC$150,0,IF(VLOOKUP($B33,'Indicator Data (national)'!$B$5:$BB$14,49,FALSE)&lt;AC$149,10,(AC$150-VLOOKUP($B33,'Indicator Data (national)'!$B$5:$BB$14,49,FALSE))/(AC$150-AC$149)*10)))</f>
        <v>9.7799999999999994</v>
      </c>
      <c r="AD33" s="2">
        <f>IF(VLOOKUP($B33,'Indicator Data (national)'!$B$5:$BB$14,50,FALSE)="No data","x",IF(VLOOKUP($B33,'Indicator Data (national)'!$B$5:$BB$14,50,FALSE)&gt;AD$150,0,IF(VLOOKUP($B33,'Indicator Data (national)'!$B$5:$BB$14,50,FALSE)&lt;AD$149,10,(AD$150-VLOOKUP($B33,'Indicator Data (national)'!$B$5:$BB$14,50,FALSE))/(AD$150-AD$149)*10)))</f>
        <v>9.8960000000000008</v>
      </c>
      <c r="AE33" s="3">
        <f t="shared" si="13"/>
        <v>9.838000000000001</v>
      </c>
      <c r="AF33" s="2">
        <f>IF(VLOOKUP($B33,'Indicator Data (national)'!$B$5:$BB$14,51,FALSE)="No data","x",IF(VLOOKUP($B33,'Indicator Data (national)'!$B$5:$BB$14,51,FALSE)&gt;AF$150,0,IF(VLOOKUP($B33,'Indicator Data (national)'!$B$5:$BB$14,51,FALSE)&lt;AF$149,10,(AF$150-VLOOKUP($B33,'Indicator Data (national)'!$B$5:$BB$14,51,FALSE))/(AF$150-AF$149)*10)))</f>
        <v>6.7838131480000001</v>
      </c>
      <c r="AG33" s="2" t="str">
        <f>IF(VLOOKUP($B33,'Indicator Data (national)'!$B$5:$BB$14,52,FALSE)="No data","x",IF(VLOOKUP($B33,'Indicator Data (national)'!$B$5:$BB$14,52,FALSE)&gt;AG$150,0,IF(VLOOKUP($B33,'Indicator Data (national)'!$B$5:$BB$14,52,FALSE)&lt;AG$149,10,(AG$150-VLOOKUP($B33,'Indicator Data (national)'!$B$5:$BB$14,52,FALSE))/(AG$150-AG$149)*10)))</f>
        <v>x</v>
      </c>
      <c r="AH33" s="2">
        <f>IF(VLOOKUP($B33,'Indicator Data (national)'!$B$5:$BB$14,53,FALSE)="No data","x",IF(VLOOKUP($B33,'Indicator Data (national)'!$B$5:$BB$14,53,FALSE)&gt;AH$150,0,IF(VLOOKUP($B33,'Indicator Data (national)'!$B$5:$BB$14,53,FALSE)&lt;AH$149,10,(AH$150-VLOOKUP($B33,'Indicator Data (national)'!$B$5:$BB$14,53,FALSE))/(AH$150-AH$149)*10)))</f>
        <v>7.1168308930766724</v>
      </c>
      <c r="AI33" s="3">
        <f t="shared" si="14"/>
        <v>6.9503220205383363</v>
      </c>
      <c r="AJ33" s="5">
        <f t="shared" si="2"/>
        <v>7.2859032440851799</v>
      </c>
    </row>
    <row r="34" spans="1:36" s="11" customFormat="1" x14ac:dyDescent="0.25">
      <c r="A34" s="16" t="s">
        <v>392</v>
      </c>
      <c r="B34" s="11" t="s">
        <v>575</v>
      </c>
      <c r="C34" s="16" t="s">
        <v>393</v>
      </c>
      <c r="D34" s="120">
        <f>(VLOOKUP($B34,'Indicator Data (national)'!$B$5:$AP$14,39,FALSE)+VLOOKUP($B34,'Indicator Data (national)'!$B$5:$AP$14,40,FALSE)+VLOOKUP($B34,'Indicator Data (national)'!$B$5:$AP$14,41,FALSE))/VLOOKUP($B34,'Indicator Data (national)'!$B$5:$AP$14,38,FALSE)*1000000</f>
        <v>0.39744632869899588</v>
      </c>
      <c r="E34" s="2">
        <f t="shared" si="3"/>
        <v>8.0127683565050205</v>
      </c>
      <c r="F34" s="3">
        <f t="shared" si="4"/>
        <v>8.0127683565050205</v>
      </c>
      <c r="G34" s="2">
        <f>IF(VLOOKUP($B34,'Indicator Data (national)'!$B$5:$AQ$14,30,FALSE)="No data","x",IF(VLOOKUP($B34,'Indicator Data (national)'!$B$5:$AQ$14,30,FALSE)&gt;G$150,10,IF(VLOOKUP($B34,'Indicator Data (national)'!$B$5:$AQ$14,30,FALSE)&lt;G$149,0,(G$150-VLOOKUP($B34,'Indicator Data (national)'!$B$5:$AQ$14,30,FALSE))/(G$150-G$149)*10)))</f>
        <v>6.7</v>
      </c>
      <c r="H34" s="2">
        <f>IF(VLOOKUP($B34,'Indicator Data (national)'!$B$5:$AQ$14,29,FALSE)="No data","x",IF(VLOOKUP($B34,'Indicator Data (national)'!$B$5:$AQ$14,29,FALSE)&gt;H$150,10,IF(VLOOKUP($B34,'Indicator Data (national)'!$B$5:$AQ$14,29,FALSE)&lt;H$149,0,(H$150-VLOOKUP($B34,'Indicator Data (national)'!$B$5:$AQ$14,29,FALSE))/(H$150-H$149)*10)))</f>
        <v>6.0389294624328613</v>
      </c>
      <c r="I34" s="3">
        <f t="shared" si="5"/>
        <v>6.3694647312164303</v>
      </c>
      <c r="J34" s="5">
        <f t="shared" si="6"/>
        <v>7.1911165438607254</v>
      </c>
      <c r="K34" s="2">
        <f>IF(VLOOKUP($B34,'Indicator Data (national)'!$B$5:$AQ$14,33,FALSE)="No data","x",IF(VLOOKUP($B34,'Indicator Data (national)'!$B$5:$AQ$14,33,FALSE)&gt;K$150,10,IF(VLOOKUP($B34,'Indicator Data (national)'!$B$5:$AQ$14,33,FALSE)&lt;K$149,0,(K$150-VLOOKUP($B34,'Indicator Data (national)'!$B$5:$AQ$14,33,FALSE))/(K$150-K$149)*10)))</f>
        <v>9.620000000000001</v>
      </c>
      <c r="L34" s="2">
        <f>IF(VLOOKUP($B34,'Indicator Data (national)'!$B$5:$AQ$14,34,FALSE)="No data","x",IF(VLOOKUP($B34,'Indicator Data (national)'!$B$5:$AQ$14,34,FALSE)&gt;L$150,10,IF(VLOOKUP($B34,'Indicator Data (national)'!$B$5:$AQ$14,34,FALSE)&lt;L$149,0,(L$150-VLOOKUP($B34,'Indicator Data (national)'!$B$5:$AQ$14,34,FALSE))/(L$150-L$149)*10)))</f>
        <v>7.2745314607249298</v>
      </c>
      <c r="M34" s="3">
        <f t="shared" si="7"/>
        <v>8.4472657303624654</v>
      </c>
      <c r="N34" s="2">
        <f>IF(VLOOKUP($B34,'Indicator Data (national)'!$B$5:$AS$14,44,FALSE)="No data","x",IF(VLOOKUP($B34,'Indicator Data (national)'!$B$5:$AS$14,44,FALSE)&gt;N$150,10,IF(VLOOKUP($B34,'Indicator Data (national)'!$B$5:$AS$14,44,FALSE)&lt;N$149,0,10-(N$150-VLOOKUP($B34,'Indicator Data (national)'!$B$5:$AS$14,44,FALSE))/(N$150-N$149)*10)))</f>
        <v>3.7333333333333325</v>
      </c>
      <c r="O34" s="2">
        <f>IF(VLOOKUP($B34,'Indicator Data (national)'!$B$5:$AS$14,42,FALSE)="No data","x",IF(VLOOKUP($B34,'Indicator Data (national)'!$B$5:$AS$14,42,FALSE)&gt;O$150,0,IF(VLOOKUP($B34,'Indicator Data (national)'!$B$5:$AS$14,42,FALSE)&lt;O$149,10,(O$150-VLOOKUP($B34,'Indicator Data (national)'!$B$5:$AS$14,42,FALSE))/(O$150-O$149)*10)))</f>
        <v>9.7986577181208059</v>
      </c>
      <c r="P34" s="158">
        <f t="shared" si="8"/>
        <v>6.7659955257270692</v>
      </c>
      <c r="Q34" s="2">
        <f>IF(VLOOKUP($B34,'Indicator Data (national)'!$B$5:$Q$14,16,FALSE)="No data","x",IF(VLOOKUP($B34,'Indicator Data (national)'!$B$5:$Q$14,16,FALSE)&gt;Q$150,0,IF(VLOOKUP($B34,'Indicator Data (national)'!$B$5:$Q$14,16,FALSE)&lt;Q$149,10,(Q$150-VLOOKUP($B34,'Indicator Data (national)'!$B$5:$Q$14,16,FALSE))/(Q$150-Q$149)*10)))</f>
        <v>9.6999999999999993</v>
      </c>
      <c r="R34" s="158">
        <f t="shared" si="9"/>
        <v>9.6999999999999993</v>
      </c>
      <c r="S34" s="3">
        <f t="shared" si="0"/>
        <v>8.2329977628635334</v>
      </c>
      <c r="T34" s="2">
        <f>IF(VLOOKUP($B34,'Indicator Data (national)'!$B$5:$BC$14,43,FALSE)="No data","x",IF(VLOOKUP($B34,'Indicator Data (national)'!$B$5:$BC$14,43,FALSE)&gt;T$150,10,IF(VLOOKUP($B34,'Indicator Data (national)'!$B$5:$BC$14,43,FALSE)&lt;T$149,0,(T$150-VLOOKUP($B34,'Indicator Data (national)'!$B$5:$BC$14,43,FALSE))/(T$150-T$149)*10)))</f>
        <v>8.4059639223302298</v>
      </c>
      <c r="U34" s="3">
        <f t="shared" si="10"/>
        <v>8.4059639223302298</v>
      </c>
      <c r="V34" s="5">
        <f t="shared" si="1"/>
        <v>8.3620758051854107</v>
      </c>
      <c r="W34" s="2">
        <f>IF(VLOOKUP($B34,'Indicator Data (national)'!$B$5:$AS$14,37,FALSE)="No data","x",IF(VLOOKUP($B34,'Indicator Data (national)'!$B$5:$AS$14,37,FALSE)&gt;W$150,10,IF(VLOOKUP($B34,'Indicator Data (national)'!$B$5:$AS$14,37,FALSE)&lt;W$149,0,(LOG(W$150)-LOG(VLOOKUP($B34,'Indicator Data (national)'!$B$5:$AS$14,37,FALSE)))/(LOG(W$150)-LOG(W$149))*10)))</f>
        <v>8.5251580015512456</v>
      </c>
      <c r="X34" s="2">
        <f>IF(VLOOKUP($B34,'Indicator Data (national)'!$B$5:$BB$14,45,FALSE)="No data","x",IF(VLOOKUP($B34,'Indicator Data (national)'!$B$5:$BB$14,45,FALSE)&gt;X$150,10,IF(VLOOKUP($B34,'Indicator Data (national)'!$B$5:$BB$14,45,FALSE)&lt;X$149,0,10-(X$150-VLOOKUP($B34,'Indicator Data (national)'!$B$5:$BB$14,45,FALSE))/(X$150-X$149)*10)))</f>
        <v>2.4444444444444446</v>
      </c>
      <c r="Y34" s="2">
        <f>IF(VLOOKUP($B34,'Indicator Data (national)'!$B$5:$BB$14,46,FALSE)="No data","x",IF(VLOOKUP($B34,'Indicator Data (national)'!$B$5:$BB$14,46,FALSE)&gt;Y$150,10,IF(VLOOKUP($B34,'Indicator Data (national)'!$B$5:$BB$14,46,FALSE)&lt;Y$149,0,(Y$150-VLOOKUP($B34,'Indicator Data (national)'!$B$5:$BB$14,46,FALSE))/(Y$150-Y$149)*10)))</f>
        <v>0.6</v>
      </c>
      <c r="Z34" s="156">
        <f>IF(VLOOKUP($B34,'Indicator Data (national)'!$B$5:$BB$14,48,FALSE)="No data","x",VLOOKUP($B34,'Indicator Data (national)'!$B$5:$BB$14,47,FALSE)*VLOOKUP($B34,'Indicator Data (national)'!$B$5:$BB$14,48,FALSE))</f>
        <v>12.920515991268807</v>
      </c>
      <c r="AA34" s="2">
        <f t="shared" si="11"/>
        <v>8.7079484008731196</v>
      </c>
      <c r="AB34" s="3">
        <f t="shared" si="12"/>
        <v>5.0693877117172024</v>
      </c>
      <c r="AC34" s="2">
        <f>IF(VLOOKUP($B34,'Indicator Data (national)'!$B$5:$BB$14,49,FALSE)="No data","x",IF(VLOOKUP($B34,'Indicator Data (national)'!$B$5:$BB$14,49,FALSE)&gt;AC$150,0,IF(VLOOKUP($B34,'Indicator Data (national)'!$B$5:$BB$14,49,FALSE)&lt;AC$149,10,(AC$150-VLOOKUP($B34,'Indicator Data (national)'!$B$5:$BB$14,49,FALSE))/(AC$150-AC$149)*10)))</f>
        <v>9.7799999999999994</v>
      </c>
      <c r="AD34" s="2">
        <f>IF(VLOOKUP($B34,'Indicator Data (national)'!$B$5:$BB$14,50,FALSE)="No data","x",IF(VLOOKUP($B34,'Indicator Data (national)'!$B$5:$BB$14,50,FALSE)&gt;AD$150,0,IF(VLOOKUP($B34,'Indicator Data (national)'!$B$5:$BB$14,50,FALSE)&lt;AD$149,10,(AD$150-VLOOKUP($B34,'Indicator Data (national)'!$B$5:$BB$14,50,FALSE))/(AD$150-AD$149)*10)))</f>
        <v>9.8960000000000008</v>
      </c>
      <c r="AE34" s="3">
        <f t="shared" si="13"/>
        <v>9.838000000000001</v>
      </c>
      <c r="AF34" s="2">
        <f>IF(VLOOKUP($B34,'Indicator Data (national)'!$B$5:$BB$14,51,FALSE)="No data","x",IF(VLOOKUP($B34,'Indicator Data (national)'!$B$5:$BB$14,51,FALSE)&gt;AF$150,0,IF(VLOOKUP($B34,'Indicator Data (national)'!$B$5:$BB$14,51,FALSE)&lt;AF$149,10,(AF$150-VLOOKUP($B34,'Indicator Data (national)'!$B$5:$BB$14,51,FALSE))/(AF$150-AF$149)*10)))</f>
        <v>6.7838131480000001</v>
      </c>
      <c r="AG34" s="2" t="str">
        <f>IF(VLOOKUP($B34,'Indicator Data (national)'!$B$5:$BB$14,52,FALSE)="No data","x",IF(VLOOKUP($B34,'Indicator Data (national)'!$B$5:$BB$14,52,FALSE)&gt;AG$150,0,IF(VLOOKUP($B34,'Indicator Data (national)'!$B$5:$BB$14,52,FALSE)&lt;AG$149,10,(AG$150-VLOOKUP($B34,'Indicator Data (national)'!$B$5:$BB$14,52,FALSE))/(AG$150-AG$149)*10)))</f>
        <v>x</v>
      </c>
      <c r="AH34" s="2">
        <f>IF(VLOOKUP($B34,'Indicator Data (national)'!$B$5:$BB$14,53,FALSE)="No data","x",IF(VLOOKUP($B34,'Indicator Data (national)'!$B$5:$BB$14,53,FALSE)&gt;AH$150,0,IF(VLOOKUP($B34,'Indicator Data (national)'!$B$5:$BB$14,53,FALSE)&lt;AH$149,10,(AH$150-VLOOKUP($B34,'Indicator Data (national)'!$B$5:$BB$14,53,FALSE))/(AH$150-AH$149)*10)))</f>
        <v>7.1168308930766724</v>
      </c>
      <c r="AI34" s="3">
        <f t="shared" si="14"/>
        <v>6.9503220205383363</v>
      </c>
      <c r="AJ34" s="5">
        <f t="shared" si="2"/>
        <v>7.2859032440851799</v>
      </c>
    </row>
    <row r="35" spans="1:36" s="11" customFormat="1" x14ac:dyDescent="0.25">
      <c r="A35" s="16" t="s">
        <v>394</v>
      </c>
      <c r="B35" s="11" t="s">
        <v>575</v>
      </c>
      <c r="C35" s="16" t="s">
        <v>395</v>
      </c>
      <c r="D35" s="120">
        <f>(VLOOKUP($B35,'Indicator Data (national)'!$B$5:$AP$14,39,FALSE)+VLOOKUP($B35,'Indicator Data (national)'!$B$5:$AP$14,40,FALSE)+VLOOKUP($B35,'Indicator Data (national)'!$B$5:$AP$14,41,FALSE))/VLOOKUP($B35,'Indicator Data (national)'!$B$5:$AP$14,38,FALSE)*1000000</f>
        <v>0.39744632869899588</v>
      </c>
      <c r="E35" s="2">
        <f t="shared" si="3"/>
        <v>8.0127683565050205</v>
      </c>
      <c r="F35" s="3">
        <f t="shared" si="4"/>
        <v>8.0127683565050205</v>
      </c>
      <c r="G35" s="2">
        <f>IF(VLOOKUP($B35,'Indicator Data (national)'!$B$5:$AQ$14,30,FALSE)="No data","x",IF(VLOOKUP($B35,'Indicator Data (national)'!$B$5:$AQ$14,30,FALSE)&gt;G$150,10,IF(VLOOKUP($B35,'Indicator Data (national)'!$B$5:$AQ$14,30,FALSE)&lt;G$149,0,(G$150-VLOOKUP($B35,'Indicator Data (national)'!$B$5:$AQ$14,30,FALSE))/(G$150-G$149)*10)))</f>
        <v>6.7</v>
      </c>
      <c r="H35" s="2">
        <f>IF(VLOOKUP($B35,'Indicator Data (national)'!$B$5:$AQ$14,29,FALSE)="No data","x",IF(VLOOKUP($B35,'Indicator Data (national)'!$B$5:$AQ$14,29,FALSE)&gt;H$150,10,IF(VLOOKUP($B35,'Indicator Data (national)'!$B$5:$AQ$14,29,FALSE)&lt;H$149,0,(H$150-VLOOKUP($B35,'Indicator Data (national)'!$B$5:$AQ$14,29,FALSE))/(H$150-H$149)*10)))</f>
        <v>6.0389294624328613</v>
      </c>
      <c r="I35" s="3">
        <f t="shared" si="5"/>
        <v>6.3694647312164303</v>
      </c>
      <c r="J35" s="5">
        <f t="shared" si="6"/>
        <v>7.1911165438607254</v>
      </c>
      <c r="K35" s="2">
        <f>IF(VLOOKUP($B35,'Indicator Data (national)'!$B$5:$AQ$14,33,FALSE)="No data","x",IF(VLOOKUP($B35,'Indicator Data (national)'!$B$5:$AQ$14,33,FALSE)&gt;K$150,10,IF(VLOOKUP($B35,'Indicator Data (national)'!$B$5:$AQ$14,33,FALSE)&lt;K$149,0,(K$150-VLOOKUP($B35,'Indicator Data (national)'!$B$5:$AQ$14,33,FALSE))/(K$150-K$149)*10)))</f>
        <v>9.620000000000001</v>
      </c>
      <c r="L35" s="2">
        <f>IF(VLOOKUP($B35,'Indicator Data (national)'!$B$5:$AQ$14,34,FALSE)="No data","x",IF(VLOOKUP($B35,'Indicator Data (national)'!$B$5:$AQ$14,34,FALSE)&gt;L$150,10,IF(VLOOKUP($B35,'Indicator Data (national)'!$B$5:$AQ$14,34,FALSE)&lt;L$149,0,(L$150-VLOOKUP($B35,'Indicator Data (national)'!$B$5:$AQ$14,34,FALSE))/(L$150-L$149)*10)))</f>
        <v>7.2745314607249298</v>
      </c>
      <c r="M35" s="3">
        <f t="shared" si="7"/>
        <v>8.4472657303624654</v>
      </c>
      <c r="N35" s="2">
        <f>IF(VLOOKUP($B35,'Indicator Data (national)'!$B$5:$AS$14,44,FALSE)="No data","x",IF(VLOOKUP($B35,'Indicator Data (national)'!$B$5:$AS$14,44,FALSE)&gt;N$150,10,IF(VLOOKUP($B35,'Indicator Data (national)'!$B$5:$AS$14,44,FALSE)&lt;N$149,0,10-(N$150-VLOOKUP($B35,'Indicator Data (national)'!$B$5:$AS$14,44,FALSE))/(N$150-N$149)*10)))</f>
        <v>3.7333333333333325</v>
      </c>
      <c r="O35" s="2">
        <f>IF(VLOOKUP($B35,'Indicator Data (national)'!$B$5:$AS$14,42,FALSE)="No data","x",IF(VLOOKUP($B35,'Indicator Data (national)'!$B$5:$AS$14,42,FALSE)&gt;O$150,0,IF(VLOOKUP($B35,'Indicator Data (national)'!$B$5:$AS$14,42,FALSE)&lt;O$149,10,(O$150-VLOOKUP($B35,'Indicator Data (national)'!$B$5:$AS$14,42,FALSE))/(O$150-O$149)*10)))</f>
        <v>9.7986577181208059</v>
      </c>
      <c r="P35" s="158">
        <f t="shared" si="8"/>
        <v>6.7659955257270692</v>
      </c>
      <c r="Q35" s="2">
        <f>IF(VLOOKUP($B35,'Indicator Data (national)'!$B$5:$Q$14,16,FALSE)="No data","x",IF(VLOOKUP($B35,'Indicator Data (national)'!$B$5:$Q$14,16,FALSE)&gt;Q$150,0,IF(VLOOKUP($B35,'Indicator Data (national)'!$B$5:$Q$14,16,FALSE)&lt;Q$149,10,(Q$150-VLOOKUP($B35,'Indicator Data (national)'!$B$5:$Q$14,16,FALSE))/(Q$150-Q$149)*10)))</f>
        <v>9.6999999999999993</v>
      </c>
      <c r="R35" s="158">
        <f t="shared" si="9"/>
        <v>9.6999999999999993</v>
      </c>
      <c r="S35" s="3">
        <f t="shared" ref="S35:S66" si="15">AVERAGE(R35,P35)</f>
        <v>8.2329977628635334</v>
      </c>
      <c r="T35" s="2">
        <f>IF(VLOOKUP($B35,'Indicator Data (national)'!$B$5:$BC$14,43,FALSE)="No data","x",IF(VLOOKUP($B35,'Indicator Data (national)'!$B$5:$BC$14,43,FALSE)&gt;T$150,10,IF(VLOOKUP($B35,'Indicator Data (national)'!$B$5:$BC$14,43,FALSE)&lt;T$149,0,(T$150-VLOOKUP($B35,'Indicator Data (national)'!$B$5:$BC$14,43,FALSE))/(T$150-T$149)*10)))</f>
        <v>8.4059639223302298</v>
      </c>
      <c r="U35" s="3">
        <f t="shared" si="10"/>
        <v>8.4059639223302298</v>
      </c>
      <c r="V35" s="5">
        <f t="shared" ref="V35:V66" si="16">AVERAGE(S35,M35,U35)</f>
        <v>8.3620758051854107</v>
      </c>
      <c r="W35" s="2">
        <f>IF(VLOOKUP($B35,'Indicator Data (national)'!$B$5:$AS$14,37,FALSE)="No data","x",IF(VLOOKUP($B35,'Indicator Data (national)'!$B$5:$AS$14,37,FALSE)&gt;W$150,10,IF(VLOOKUP($B35,'Indicator Data (national)'!$B$5:$AS$14,37,FALSE)&lt;W$149,0,(LOG(W$150)-LOG(VLOOKUP($B35,'Indicator Data (national)'!$B$5:$AS$14,37,FALSE)))/(LOG(W$150)-LOG(W$149))*10)))</f>
        <v>8.5251580015512456</v>
      </c>
      <c r="X35" s="2">
        <f>IF(VLOOKUP($B35,'Indicator Data (national)'!$B$5:$BB$14,45,FALSE)="No data","x",IF(VLOOKUP($B35,'Indicator Data (national)'!$B$5:$BB$14,45,FALSE)&gt;X$150,10,IF(VLOOKUP($B35,'Indicator Data (national)'!$B$5:$BB$14,45,FALSE)&lt;X$149,0,10-(X$150-VLOOKUP($B35,'Indicator Data (national)'!$B$5:$BB$14,45,FALSE))/(X$150-X$149)*10)))</f>
        <v>2.4444444444444446</v>
      </c>
      <c r="Y35" s="2">
        <f>IF(VLOOKUP($B35,'Indicator Data (national)'!$B$5:$BB$14,46,FALSE)="No data","x",IF(VLOOKUP($B35,'Indicator Data (national)'!$B$5:$BB$14,46,FALSE)&gt;Y$150,10,IF(VLOOKUP($B35,'Indicator Data (national)'!$B$5:$BB$14,46,FALSE)&lt;Y$149,0,(Y$150-VLOOKUP($B35,'Indicator Data (national)'!$B$5:$BB$14,46,FALSE))/(Y$150-Y$149)*10)))</f>
        <v>0.6</v>
      </c>
      <c r="Z35" s="156">
        <f>IF(VLOOKUP($B35,'Indicator Data (national)'!$B$5:$BB$14,48,FALSE)="No data","x",VLOOKUP($B35,'Indicator Data (national)'!$B$5:$BB$14,47,FALSE)*VLOOKUP($B35,'Indicator Data (national)'!$B$5:$BB$14,48,FALSE))</f>
        <v>12.920515991268807</v>
      </c>
      <c r="AA35" s="2">
        <f t="shared" si="11"/>
        <v>8.7079484008731196</v>
      </c>
      <c r="AB35" s="3">
        <f t="shared" si="12"/>
        <v>5.0693877117172024</v>
      </c>
      <c r="AC35" s="2">
        <f>IF(VLOOKUP($B35,'Indicator Data (national)'!$B$5:$BB$14,49,FALSE)="No data","x",IF(VLOOKUP($B35,'Indicator Data (national)'!$B$5:$BB$14,49,FALSE)&gt;AC$150,0,IF(VLOOKUP($B35,'Indicator Data (national)'!$B$5:$BB$14,49,FALSE)&lt;AC$149,10,(AC$150-VLOOKUP($B35,'Indicator Data (national)'!$B$5:$BB$14,49,FALSE))/(AC$150-AC$149)*10)))</f>
        <v>9.7799999999999994</v>
      </c>
      <c r="AD35" s="2">
        <f>IF(VLOOKUP($B35,'Indicator Data (national)'!$B$5:$BB$14,50,FALSE)="No data","x",IF(VLOOKUP($B35,'Indicator Data (national)'!$B$5:$BB$14,50,FALSE)&gt;AD$150,0,IF(VLOOKUP($B35,'Indicator Data (national)'!$B$5:$BB$14,50,FALSE)&lt;AD$149,10,(AD$150-VLOOKUP($B35,'Indicator Data (national)'!$B$5:$BB$14,50,FALSE))/(AD$150-AD$149)*10)))</f>
        <v>9.8960000000000008</v>
      </c>
      <c r="AE35" s="3">
        <f t="shared" si="13"/>
        <v>9.838000000000001</v>
      </c>
      <c r="AF35" s="2">
        <f>IF(VLOOKUP($B35,'Indicator Data (national)'!$B$5:$BB$14,51,FALSE)="No data","x",IF(VLOOKUP($B35,'Indicator Data (national)'!$B$5:$BB$14,51,FALSE)&gt;AF$150,0,IF(VLOOKUP($B35,'Indicator Data (national)'!$B$5:$BB$14,51,FALSE)&lt;AF$149,10,(AF$150-VLOOKUP($B35,'Indicator Data (national)'!$B$5:$BB$14,51,FALSE))/(AF$150-AF$149)*10)))</f>
        <v>6.7838131480000001</v>
      </c>
      <c r="AG35" s="2" t="str">
        <f>IF(VLOOKUP($B35,'Indicator Data (national)'!$B$5:$BB$14,52,FALSE)="No data","x",IF(VLOOKUP($B35,'Indicator Data (national)'!$B$5:$BB$14,52,FALSE)&gt;AG$150,0,IF(VLOOKUP($B35,'Indicator Data (national)'!$B$5:$BB$14,52,FALSE)&lt;AG$149,10,(AG$150-VLOOKUP($B35,'Indicator Data (national)'!$B$5:$BB$14,52,FALSE))/(AG$150-AG$149)*10)))</f>
        <v>x</v>
      </c>
      <c r="AH35" s="2">
        <f>IF(VLOOKUP($B35,'Indicator Data (national)'!$B$5:$BB$14,53,FALSE)="No data","x",IF(VLOOKUP($B35,'Indicator Data (national)'!$B$5:$BB$14,53,FALSE)&gt;AH$150,0,IF(VLOOKUP($B35,'Indicator Data (national)'!$B$5:$BB$14,53,FALSE)&lt;AH$149,10,(AH$150-VLOOKUP($B35,'Indicator Data (national)'!$B$5:$BB$14,53,FALSE))/(AH$150-AH$149)*10)))</f>
        <v>7.1168308930766724</v>
      </c>
      <c r="AI35" s="3">
        <f t="shared" si="14"/>
        <v>6.9503220205383363</v>
      </c>
      <c r="AJ35" s="5">
        <f t="shared" ref="AJ35:AJ66" si="17">AVERAGE(AE35,AB35,AI35)</f>
        <v>7.2859032440851799</v>
      </c>
    </row>
    <row r="36" spans="1:36" s="11" customFormat="1" x14ac:dyDescent="0.25">
      <c r="A36" s="16" t="s">
        <v>396</v>
      </c>
      <c r="B36" s="11" t="s">
        <v>575</v>
      </c>
      <c r="C36" s="16" t="s">
        <v>397</v>
      </c>
      <c r="D36" s="120">
        <f>(VLOOKUP($B36,'Indicator Data (national)'!$B$5:$AP$14,39,FALSE)+VLOOKUP($B36,'Indicator Data (national)'!$B$5:$AP$14,40,FALSE)+VLOOKUP($B36,'Indicator Data (national)'!$B$5:$AP$14,41,FALSE))/VLOOKUP($B36,'Indicator Data (national)'!$B$5:$AP$14,38,FALSE)*1000000</f>
        <v>0.39744632869899588</v>
      </c>
      <c r="E36" s="2">
        <f t="shared" si="3"/>
        <v>8.0127683565050205</v>
      </c>
      <c r="F36" s="3">
        <f t="shared" si="4"/>
        <v>8.0127683565050205</v>
      </c>
      <c r="G36" s="2">
        <f>IF(VLOOKUP($B36,'Indicator Data (national)'!$B$5:$AQ$14,30,FALSE)="No data","x",IF(VLOOKUP($B36,'Indicator Data (national)'!$B$5:$AQ$14,30,FALSE)&gt;G$150,10,IF(VLOOKUP($B36,'Indicator Data (national)'!$B$5:$AQ$14,30,FALSE)&lt;G$149,0,(G$150-VLOOKUP($B36,'Indicator Data (national)'!$B$5:$AQ$14,30,FALSE))/(G$150-G$149)*10)))</f>
        <v>6.7</v>
      </c>
      <c r="H36" s="2">
        <f>IF(VLOOKUP($B36,'Indicator Data (national)'!$B$5:$AQ$14,29,FALSE)="No data","x",IF(VLOOKUP($B36,'Indicator Data (national)'!$B$5:$AQ$14,29,FALSE)&gt;H$150,10,IF(VLOOKUP($B36,'Indicator Data (national)'!$B$5:$AQ$14,29,FALSE)&lt;H$149,0,(H$150-VLOOKUP($B36,'Indicator Data (national)'!$B$5:$AQ$14,29,FALSE))/(H$150-H$149)*10)))</f>
        <v>6.0389294624328613</v>
      </c>
      <c r="I36" s="3">
        <f t="shared" si="5"/>
        <v>6.3694647312164303</v>
      </c>
      <c r="J36" s="5">
        <f t="shared" si="6"/>
        <v>7.1911165438607254</v>
      </c>
      <c r="K36" s="2">
        <f>IF(VLOOKUP($B36,'Indicator Data (national)'!$B$5:$AQ$14,33,FALSE)="No data","x",IF(VLOOKUP($B36,'Indicator Data (national)'!$B$5:$AQ$14,33,FALSE)&gt;K$150,10,IF(VLOOKUP($B36,'Indicator Data (national)'!$B$5:$AQ$14,33,FALSE)&lt;K$149,0,(K$150-VLOOKUP($B36,'Indicator Data (national)'!$B$5:$AQ$14,33,FALSE))/(K$150-K$149)*10)))</f>
        <v>9.620000000000001</v>
      </c>
      <c r="L36" s="2">
        <f>IF(VLOOKUP($B36,'Indicator Data (national)'!$B$5:$AQ$14,34,FALSE)="No data","x",IF(VLOOKUP($B36,'Indicator Data (national)'!$B$5:$AQ$14,34,FALSE)&gt;L$150,10,IF(VLOOKUP($B36,'Indicator Data (national)'!$B$5:$AQ$14,34,FALSE)&lt;L$149,0,(L$150-VLOOKUP($B36,'Indicator Data (national)'!$B$5:$AQ$14,34,FALSE))/(L$150-L$149)*10)))</f>
        <v>7.2745314607249298</v>
      </c>
      <c r="M36" s="3">
        <f t="shared" si="7"/>
        <v>8.4472657303624654</v>
      </c>
      <c r="N36" s="2">
        <f>IF(VLOOKUP($B36,'Indicator Data (national)'!$B$5:$AS$14,44,FALSE)="No data","x",IF(VLOOKUP($B36,'Indicator Data (national)'!$B$5:$AS$14,44,FALSE)&gt;N$150,10,IF(VLOOKUP($B36,'Indicator Data (national)'!$B$5:$AS$14,44,FALSE)&lt;N$149,0,10-(N$150-VLOOKUP($B36,'Indicator Data (national)'!$B$5:$AS$14,44,FALSE))/(N$150-N$149)*10)))</f>
        <v>3.7333333333333325</v>
      </c>
      <c r="O36" s="2">
        <f>IF(VLOOKUP($B36,'Indicator Data (national)'!$B$5:$AS$14,42,FALSE)="No data","x",IF(VLOOKUP($B36,'Indicator Data (national)'!$B$5:$AS$14,42,FALSE)&gt;O$150,0,IF(VLOOKUP($B36,'Indicator Data (national)'!$B$5:$AS$14,42,FALSE)&lt;O$149,10,(O$150-VLOOKUP($B36,'Indicator Data (national)'!$B$5:$AS$14,42,FALSE))/(O$150-O$149)*10)))</f>
        <v>9.7986577181208059</v>
      </c>
      <c r="P36" s="158">
        <f t="shared" si="8"/>
        <v>6.7659955257270692</v>
      </c>
      <c r="Q36" s="2">
        <f>IF(VLOOKUP($B36,'Indicator Data (national)'!$B$5:$Q$14,16,FALSE)="No data","x",IF(VLOOKUP($B36,'Indicator Data (national)'!$B$5:$Q$14,16,FALSE)&gt;Q$150,0,IF(VLOOKUP($B36,'Indicator Data (national)'!$B$5:$Q$14,16,FALSE)&lt;Q$149,10,(Q$150-VLOOKUP($B36,'Indicator Data (national)'!$B$5:$Q$14,16,FALSE))/(Q$150-Q$149)*10)))</f>
        <v>9.6999999999999993</v>
      </c>
      <c r="R36" s="158">
        <f t="shared" si="9"/>
        <v>9.6999999999999993</v>
      </c>
      <c r="S36" s="3">
        <f t="shared" si="15"/>
        <v>8.2329977628635334</v>
      </c>
      <c r="T36" s="2">
        <f>IF(VLOOKUP($B36,'Indicator Data (national)'!$B$5:$BC$14,43,FALSE)="No data","x",IF(VLOOKUP($B36,'Indicator Data (national)'!$B$5:$BC$14,43,FALSE)&gt;T$150,10,IF(VLOOKUP($B36,'Indicator Data (national)'!$B$5:$BC$14,43,FALSE)&lt;T$149,0,(T$150-VLOOKUP($B36,'Indicator Data (national)'!$B$5:$BC$14,43,FALSE))/(T$150-T$149)*10)))</f>
        <v>8.4059639223302298</v>
      </c>
      <c r="U36" s="3">
        <f t="shared" si="10"/>
        <v>8.4059639223302298</v>
      </c>
      <c r="V36" s="5">
        <f t="shared" si="16"/>
        <v>8.3620758051854107</v>
      </c>
      <c r="W36" s="2">
        <f>IF(VLOOKUP($B36,'Indicator Data (national)'!$B$5:$AS$14,37,FALSE)="No data","x",IF(VLOOKUP($B36,'Indicator Data (national)'!$B$5:$AS$14,37,FALSE)&gt;W$150,10,IF(VLOOKUP($B36,'Indicator Data (national)'!$B$5:$AS$14,37,FALSE)&lt;W$149,0,(LOG(W$150)-LOG(VLOOKUP($B36,'Indicator Data (national)'!$B$5:$AS$14,37,FALSE)))/(LOG(W$150)-LOG(W$149))*10)))</f>
        <v>8.5251580015512456</v>
      </c>
      <c r="X36" s="2">
        <f>IF(VLOOKUP($B36,'Indicator Data (national)'!$B$5:$BB$14,45,FALSE)="No data","x",IF(VLOOKUP($B36,'Indicator Data (national)'!$B$5:$BB$14,45,FALSE)&gt;X$150,10,IF(VLOOKUP($B36,'Indicator Data (national)'!$B$5:$BB$14,45,FALSE)&lt;X$149,0,10-(X$150-VLOOKUP($B36,'Indicator Data (national)'!$B$5:$BB$14,45,FALSE))/(X$150-X$149)*10)))</f>
        <v>2.4444444444444446</v>
      </c>
      <c r="Y36" s="2">
        <f>IF(VLOOKUP($B36,'Indicator Data (national)'!$B$5:$BB$14,46,FALSE)="No data","x",IF(VLOOKUP($B36,'Indicator Data (national)'!$B$5:$BB$14,46,FALSE)&gt;Y$150,10,IF(VLOOKUP($B36,'Indicator Data (national)'!$B$5:$BB$14,46,FALSE)&lt;Y$149,0,(Y$150-VLOOKUP($B36,'Indicator Data (national)'!$B$5:$BB$14,46,FALSE))/(Y$150-Y$149)*10)))</f>
        <v>0.6</v>
      </c>
      <c r="Z36" s="156">
        <f>IF(VLOOKUP($B36,'Indicator Data (national)'!$B$5:$BB$14,48,FALSE)="No data","x",VLOOKUP($B36,'Indicator Data (national)'!$B$5:$BB$14,47,FALSE)*VLOOKUP($B36,'Indicator Data (national)'!$B$5:$BB$14,48,FALSE))</f>
        <v>12.920515991268807</v>
      </c>
      <c r="AA36" s="2">
        <f t="shared" si="11"/>
        <v>8.7079484008731196</v>
      </c>
      <c r="AB36" s="3">
        <f t="shared" si="12"/>
        <v>5.0693877117172024</v>
      </c>
      <c r="AC36" s="2">
        <f>IF(VLOOKUP($B36,'Indicator Data (national)'!$B$5:$BB$14,49,FALSE)="No data","x",IF(VLOOKUP($B36,'Indicator Data (national)'!$B$5:$BB$14,49,FALSE)&gt;AC$150,0,IF(VLOOKUP($B36,'Indicator Data (national)'!$B$5:$BB$14,49,FALSE)&lt;AC$149,10,(AC$150-VLOOKUP($B36,'Indicator Data (national)'!$B$5:$BB$14,49,FALSE))/(AC$150-AC$149)*10)))</f>
        <v>9.7799999999999994</v>
      </c>
      <c r="AD36" s="2">
        <f>IF(VLOOKUP($B36,'Indicator Data (national)'!$B$5:$BB$14,50,FALSE)="No data","x",IF(VLOOKUP($B36,'Indicator Data (national)'!$B$5:$BB$14,50,FALSE)&gt;AD$150,0,IF(VLOOKUP($B36,'Indicator Data (national)'!$B$5:$BB$14,50,FALSE)&lt;AD$149,10,(AD$150-VLOOKUP($B36,'Indicator Data (national)'!$B$5:$BB$14,50,FALSE))/(AD$150-AD$149)*10)))</f>
        <v>9.8960000000000008</v>
      </c>
      <c r="AE36" s="3">
        <f t="shared" si="13"/>
        <v>9.838000000000001</v>
      </c>
      <c r="AF36" s="2">
        <f>IF(VLOOKUP($B36,'Indicator Data (national)'!$B$5:$BB$14,51,FALSE)="No data","x",IF(VLOOKUP($B36,'Indicator Data (national)'!$B$5:$BB$14,51,FALSE)&gt;AF$150,0,IF(VLOOKUP($B36,'Indicator Data (national)'!$B$5:$BB$14,51,FALSE)&lt;AF$149,10,(AF$150-VLOOKUP($B36,'Indicator Data (national)'!$B$5:$BB$14,51,FALSE))/(AF$150-AF$149)*10)))</f>
        <v>6.7838131480000001</v>
      </c>
      <c r="AG36" s="2" t="str">
        <f>IF(VLOOKUP($B36,'Indicator Data (national)'!$B$5:$BB$14,52,FALSE)="No data","x",IF(VLOOKUP($B36,'Indicator Data (national)'!$B$5:$BB$14,52,FALSE)&gt;AG$150,0,IF(VLOOKUP($B36,'Indicator Data (national)'!$B$5:$BB$14,52,FALSE)&lt;AG$149,10,(AG$150-VLOOKUP($B36,'Indicator Data (national)'!$B$5:$BB$14,52,FALSE))/(AG$150-AG$149)*10)))</f>
        <v>x</v>
      </c>
      <c r="AH36" s="2">
        <f>IF(VLOOKUP($B36,'Indicator Data (national)'!$B$5:$BB$14,53,FALSE)="No data","x",IF(VLOOKUP($B36,'Indicator Data (national)'!$B$5:$BB$14,53,FALSE)&gt;AH$150,0,IF(VLOOKUP($B36,'Indicator Data (national)'!$B$5:$BB$14,53,FALSE)&lt;AH$149,10,(AH$150-VLOOKUP($B36,'Indicator Data (national)'!$B$5:$BB$14,53,FALSE))/(AH$150-AH$149)*10)))</f>
        <v>7.1168308930766724</v>
      </c>
      <c r="AI36" s="3">
        <f t="shared" si="14"/>
        <v>6.9503220205383363</v>
      </c>
      <c r="AJ36" s="5">
        <f t="shared" si="17"/>
        <v>7.2859032440851799</v>
      </c>
    </row>
    <row r="37" spans="1:36" s="11" customFormat="1" x14ac:dyDescent="0.25">
      <c r="A37" s="16" t="s">
        <v>398</v>
      </c>
      <c r="B37" s="11" t="s">
        <v>575</v>
      </c>
      <c r="C37" s="16" t="s">
        <v>399</v>
      </c>
      <c r="D37" s="120">
        <f>(VLOOKUP($B37,'Indicator Data (national)'!$B$5:$AP$14,39,FALSE)+VLOOKUP($B37,'Indicator Data (national)'!$B$5:$AP$14,40,FALSE)+VLOOKUP($B37,'Indicator Data (national)'!$B$5:$AP$14,41,FALSE))/VLOOKUP($B37,'Indicator Data (national)'!$B$5:$AP$14,38,FALSE)*1000000</f>
        <v>0.39744632869899588</v>
      </c>
      <c r="E37" s="2">
        <f t="shared" si="3"/>
        <v>8.0127683565050205</v>
      </c>
      <c r="F37" s="3">
        <f t="shared" si="4"/>
        <v>8.0127683565050205</v>
      </c>
      <c r="G37" s="2">
        <f>IF(VLOOKUP($B37,'Indicator Data (national)'!$B$5:$AQ$14,30,FALSE)="No data","x",IF(VLOOKUP($B37,'Indicator Data (national)'!$B$5:$AQ$14,30,FALSE)&gt;G$150,10,IF(VLOOKUP($B37,'Indicator Data (national)'!$B$5:$AQ$14,30,FALSE)&lt;G$149,0,(G$150-VLOOKUP($B37,'Indicator Data (national)'!$B$5:$AQ$14,30,FALSE))/(G$150-G$149)*10)))</f>
        <v>6.7</v>
      </c>
      <c r="H37" s="2">
        <f>IF(VLOOKUP($B37,'Indicator Data (national)'!$B$5:$AQ$14,29,FALSE)="No data","x",IF(VLOOKUP($B37,'Indicator Data (national)'!$B$5:$AQ$14,29,FALSE)&gt;H$150,10,IF(VLOOKUP($B37,'Indicator Data (national)'!$B$5:$AQ$14,29,FALSE)&lt;H$149,0,(H$150-VLOOKUP($B37,'Indicator Data (national)'!$B$5:$AQ$14,29,FALSE))/(H$150-H$149)*10)))</f>
        <v>6.0389294624328613</v>
      </c>
      <c r="I37" s="3">
        <f t="shared" si="5"/>
        <v>6.3694647312164303</v>
      </c>
      <c r="J37" s="5">
        <f t="shared" si="6"/>
        <v>7.1911165438607254</v>
      </c>
      <c r="K37" s="2">
        <f>IF(VLOOKUP($B37,'Indicator Data (national)'!$B$5:$AQ$14,33,FALSE)="No data","x",IF(VLOOKUP($B37,'Indicator Data (national)'!$B$5:$AQ$14,33,FALSE)&gt;K$150,10,IF(VLOOKUP($B37,'Indicator Data (national)'!$B$5:$AQ$14,33,FALSE)&lt;K$149,0,(K$150-VLOOKUP($B37,'Indicator Data (national)'!$B$5:$AQ$14,33,FALSE))/(K$150-K$149)*10)))</f>
        <v>9.620000000000001</v>
      </c>
      <c r="L37" s="2">
        <f>IF(VLOOKUP($B37,'Indicator Data (national)'!$B$5:$AQ$14,34,FALSE)="No data","x",IF(VLOOKUP($B37,'Indicator Data (national)'!$B$5:$AQ$14,34,FALSE)&gt;L$150,10,IF(VLOOKUP($B37,'Indicator Data (national)'!$B$5:$AQ$14,34,FALSE)&lt;L$149,0,(L$150-VLOOKUP($B37,'Indicator Data (national)'!$B$5:$AQ$14,34,FALSE))/(L$150-L$149)*10)))</f>
        <v>7.2745314607249298</v>
      </c>
      <c r="M37" s="3">
        <f t="shared" si="7"/>
        <v>8.4472657303624654</v>
      </c>
      <c r="N37" s="2">
        <f>IF(VLOOKUP($B37,'Indicator Data (national)'!$B$5:$AS$14,44,FALSE)="No data","x",IF(VLOOKUP($B37,'Indicator Data (national)'!$B$5:$AS$14,44,FALSE)&gt;N$150,10,IF(VLOOKUP($B37,'Indicator Data (national)'!$B$5:$AS$14,44,FALSE)&lt;N$149,0,10-(N$150-VLOOKUP($B37,'Indicator Data (national)'!$B$5:$AS$14,44,FALSE))/(N$150-N$149)*10)))</f>
        <v>3.7333333333333325</v>
      </c>
      <c r="O37" s="2">
        <f>IF(VLOOKUP($B37,'Indicator Data (national)'!$B$5:$AS$14,42,FALSE)="No data","x",IF(VLOOKUP($B37,'Indicator Data (national)'!$B$5:$AS$14,42,FALSE)&gt;O$150,0,IF(VLOOKUP($B37,'Indicator Data (national)'!$B$5:$AS$14,42,FALSE)&lt;O$149,10,(O$150-VLOOKUP($B37,'Indicator Data (national)'!$B$5:$AS$14,42,FALSE))/(O$150-O$149)*10)))</f>
        <v>9.7986577181208059</v>
      </c>
      <c r="P37" s="158">
        <f t="shared" si="8"/>
        <v>6.7659955257270692</v>
      </c>
      <c r="Q37" s="2">
        <f>IF(VLOOKUP($B37,'Indicator Data (national)'!$B$5:$Q$14,16,FALSE)="No data","x",IF(VLOOKUP($B37,'Indicator Data (national)'!$B$5:$Q$14,16,FALSE)&gt;Q$150,0,IF(VLOOKUP($B37,'Indicator Data (national)'!$B$5:$Q$14,16,FALSE)&lt;Q$149,10,(Q$150-VLOOKUP($B37,'Indicator Data (national)'!$B$5:$Q$14,16,FALSE))/(Q$150-Q$149)*10)))</f>
        <v>9.6999999999999993</v>
      </c>
      <c r="R37" s="158">
        <f t="shared" si="9"/>
        <v>9.6999999999999993</v>
      </c>
      <c r="S37" s="3">
        <f t="shared" si="15"/>
        <v>8.2329977628635334</v>
      </c>
      <c r="T37" s="2">
        <f>IF(VLOOKUP($B37,'Indicator Data (national)'!$B$5:$BC$14,43,FALSE)="No data","x",IF(VLOOKUP($B37,'Indicator Data (national)'!$B$5:$BC$14,43,FALSE)&gt;T$150,10,IF(VLOOKUP($B37,'Indicator Data (national)'!$B$5:$BC$14,43,FALSE)&lt;T$149,0,(T$150-VLOOKUP($B37,'Indicator Data (national)'!$B$5:$BC$14,43,FALSE))/(T$150-T$149)*10)))</f>
        <v>8.4059639223302298</v>
      </c>
      <c r="U37" s="3">
        <f t="shared" si="10"/>
        <v>8.4059639223302298</v>
      </c>
      <c r="V37" s="5">
        <f t="shared" si="16"/>
        <v>8.3620758051854107</v>
      </c>
      <c r="W37" s="2">
        <f>IF(VLOOKUP($B37,'Indicator Data (national)'!$B$5:$AS$14,37,FALSE)="No data","x",IF(VLOOKUP($B37,'Indicator Data (national)'!$B$5:$AS$14,37,FALSE)&gt;W$150,10,IF(VLOOKUP($B37,'Indicator Data (national)'!$B$5:$AS$14,37,FALSE)&lt;W$149,0,(LOG(W$150)-LOG(VLOOKUP($B37,'Indicator Data (national)'!$B$5:$AS$14,37,FALSE)))/(LOG(W$150)-LOG(W$149))*10)))</f>
        <v>8.5251580015512456</v>
      </c>
      <c r="X37" s="2">
        <f>IF(VLOOKUP($B37,'Indicator Data (national)'!$B$5:$BB$14,45,FALSE)="No data","x",IF(VLOOKUP($B37,'Indicator Data (national)'!$B$5:$BB$14,45,FALSE)&gt;X$150,10,IF(VLOOKUP($B37,'Indicator Data (national)'!$B$5:$BB$14,45,FALSE)&lt;X$149,0,10-(X$150-VLOOKUP($B37,'Indicator Data (national)'!$B$5:$BB$14,45,FALSE))/(X$150-X$149)*10)))</f>
        <v>2.4444444444444446</v>
      </c>
      <c r="Y37" s="2">
        <f>IF(VLOOKUP($B37,'Indicator Data (national)'!$B$5:$BB$14,46,FALSE)="No data","x",IF(VLOOKUP($B37,'Indicator Data (national)'!$B$5:$BB$14,46,FALSE)&gt;Y$150,10,IF(VLOOKUP($B37,'Indicator Data (national)'!$B$5:$BB$14,46,FALSE)&lt;Y$149,0,(Y$150-VLOOKUP($B37,'Indicator Data (national)'!$B$5:$BB$14,46,FALSE))/(Y$150-Y$149)*10)))</f>
        <v>0.6</v>
      </c>
      <c r="Z37" s="156">
        <f>IF(VLOOKUP($B37,'Indicator Data (national)'!$B$5:$BB$14,48,FALSE)="No data","x",VLOOKUP($B37,'Indicator Data (national)'!$B$5:$BB$14,47,FALSE)*VLOOKUP($B37,'Indicator Data (national)'!$B$5:$BB$14,48,FALSE))</f>
        <v>12.920515991268807</v>
      </c>
      <c r="AA37" s="2">
        <f t="shared" si="11"/>
        <v>8.7079484008731196</v>
      </c>
      <c r="AB37" s="3">
        <f t="shared" si="12"/>
        <v>5.0693877117172024</v>
      </c>
      <c r="AC37" s="2">
        <f>IF(VLOOKUP($B37,'Indicator Data (national)'!$B$5:$BB$14,49,FALSE)="No data","x",IF(VLOOKUP($B37,'Indicator Data (national)'!$B$5:$BB$14,49,FALSE)&gt;AC$150,0,IF(VLOOKUP($B37,'Indicator Data (national)'!$B$5:$BB$14,49,FALSE)&lt;AC$149,10,(AC$150-VLOOKUP($B37,'Indicator Data (national)'!$B$5:$BB$14,49,FALSE))/(AC$150-AC$149)*10)))</f>
        <v>9.7799999999999994</v>
      </c>
      <c r="AD37" s="2">
        <f>IF(VLOOKUP($B37,'Indicator Data (national)'!$B$5:$BB$14,50,FALSE)="No data","x",IF(VLOOKUP($B37,'Indicator Data (national)'!$B$5:$BB$14,50,FALSE)&gt;AD$150,0,IF(VLOOKUP($B37,'Indicator Data (national)'!$B$5:$BB$14,50,FALSE)&lt;AD$149,10,(AD$150-VLOOKUP($B37,'Indicator Data (national)'!$B$5:$BB$14,50,FALSE))/(AD$150-AD$149)*10)))</f>
        <v>9.8960000000000008</v>
      </c>
      <c r="AE37" s="3">
        <f t="shared" si="13"/>
        <v>9.838000000000001</v>
      </c>
      <c r="AF37" s="2">
        <f>IF(VLOOKUP($B37,'Indicator Data (national)'!$B$5:$BB$14,51,FALSE)="No data","x",IF(VLOOKUP($B37,'Indicator Data (national)'!$B$5:$BB$14,51,FALSE)&gt;AF$150,0,IF(VLOOKUP($B37,'Indicator Data (national)'!$B$5:$BB$14,51,FALSE)&lt;AF$149,10,(AF$150-VLOOKUP($B37,'Indicator Data (national)'!$B$5:$BB$14,51,FALSE))/(AF$150-AF$149)*10)))</f>
        <v>6.7838131480000001</v>
      </c>
      <c r="AG37" s="2" t="str">
        <f>IF(VLOOKUP($B37,'Indicator Data (national)'!$B$5:$BB$14,52,FALSE)="No data","x",IF(VLOOKUP($B37,'Indicator Data (national)'!$B$5:$BB$14,52,FALSE)&gt;AG$150,0,IF(VLOOKUP($B37,'Indicator Data (national)'!$B$5:$BB$14,52,FALSE)&lt;AG$149,10,(AG$150-VLOOKUP($B37,'Indicator Data (national)'!$B$5:$BB$14,52,FALSE))/(AG$150-AG$149)*10)))</f>
        <v>x</v>
      </c>
      <c r="AH37" s="2">
        <f>IF(VLOOKUP($B37,'Indicator Data (national)'!$B$5:$BB$14,53,FALSE)="No data","x",IF(VLOOKUP($B37,'Indicator Data (national)'!$B$5:$BB$14,53,FALSE)&gt;AH$150,0,IF(VLOOKUP($B37,'Indicator Data (national)'!$B$5:$BB$14,53,FALSE)&lt;AH$149,10,(AH$150-VLOOKUP($B37,'Indicator Data (national)'!$B$5:$BB$14,53,FALSE))/(AH$150-AH$149)*10)))</f>
        <v>7.1168308930766724</v>
      </c>
      <c r="AI37" s="3">
        <f t="shared" si="14"/>
        <v>6.9503220205383363</v>
      </c>
      <c r="AJ37" s="5">
        <f t="shared" si="17"/>
        <v>7.2859032440851799</v>
      </c>
    </row>
    <row r="38" spans="1:36" s="11" customFormat="1" x14ac:dyDescent="0.25">
      <c r="A38" s="16" t="s">
        <v>400</v>
      </c>
      <c r="B38" s="11" t="s">
        <v>575</v>
      </c>
      <c r="C38" s="16" t="s">
        <v>401</v>
      </c>
      <c r="D38" s="120">
        <f>(VLOOKUP($B38,'Indicator Data (national)'!$B$5:$AP$14,39,FALSE)+VLOOKUP($B38,'Indicator Data (national)'!$B$5:$AP$14,40,FALSE)+VLOOKUP($B38,'Indicator Data (national)'!$B$5:$AP$14,41,FALSE))/VLOOKUP($B38,'Indicator Data (national)'!$B$5:$AP$14,38,FALSE)*1000000</f>
        <v>0.39744632869899588</v>
      </c>
      <c r="E38" s="2">
        <f t="shared" si="3"/>
        <v>8.0127683565050205</v>
      </c>
      <c r="F38" s="3">
        <f t="shared" si="4"/>
        <v>8.0127683565050205</v>
      </c>
      <c r="G38" s="2">
        <f>IF(VLOOKUP($B38,'Indicator Data (national)'!$B$5:$AQ$14,30,FALSE)="No data","x",IF(VLOOKUP($B38,'Indicator Data (national)'!$B$5:$AQ$14,30,FALSE)&gt;G$150,10,IF(VLOOKUP($B38,'Indicator Data (national)'!$B$5:$AQ$14,30,FALSE)&lt;G$149,0,(G$150-VLOOKUP($B38,'Indicator Data (national)'!$B$5:$AQ$14,30,FALSE))/(G$150-G$149)*10)))</f>
        <v>6.7</v>
      </c>
      <c r="H38" s="2">
        <f>IF(VLOOKUP($B38,'Indicator Data (national)'!$B$5:$AQ$14,29,FALSE)="No data","x",IF(VLOOKUP($B38,'Indicator Data (national)'!$B$5:$AQ$14,29,FALSE)&gt;H$150,10,IF(VLOOKUP($B38,'Indicator Data (national)'!$B$5:$AQ$14,29,FALSE)&lt;H$149,0,(H$150-VLOOKUP($B38,'Indicator Data (national)'!$B$5:$AQ$14,29,FALSE))/(H$150-H$149)*10)))</f>
        <v>6.0389294624328613</v>
      </c>
      <c r="I38" s="3">
        <f t="shared" si="5"/>
        <v>6.3694647312164303</v>
      </c>
      <c r="J38" s="5">
        <f t="shared" si="6"/>
        <v>7.1911165438607254</v>
      </c>
      <c r="K38" s="2">
        <f>IF(VLOOKUP($B38,'Indicator Data (national)'!$B$5:$AQ$14,33,FALSE)="No data","x",IF(VLOOKUP($B38,'Indicator Data (national)'!$B$5:$AQ$14,33,FALSE)&gt;K$150,10,IF(VLOOKUP($B38,'Indicator Data (national)'!$B$5:$AQ$14,33,FALSE)&lt;K$149,0,(K$150-VLOOKUP($B38,'Indicator Data (national)'!$B$5:$AQ$14,33,FALSE))/(K$150-K$149)*10)))</f>
        <v>9.620000000000001</v>
      </c>
      <c r="L38" s="2">
        <f>IF(VLOOKUP($B38,'Indicator Data (national)'!$B$5:$AQ$14,34,FALSE)="No data","x",IF(VLOOKUP($B38,'Indicator Data (national)'!$B$5:$AQ$14,34,FALSE)&gt;L$150,10,IF(VLOOKUP($B38,'Indicator Data (national)'!$B$5:$AQ$14,34,FALSE)&lt;L$149,0,(L$150-VLOOKUP($B38,'Indicator Data (national)'!$B$5:$AQ$14,34,FALSE))/(L$150-L$149)*10)))</f>
        <v>7.2745314607249298</v>
      </c>
      <c r="M38" s="3">
        <f t="shared" si="7"/>
        <v>8.4472657303624654</v>
      </c>
      <c r="N38" s="2">
        <f>IF(VLOOKUP($B38,'Indicator Data (national)'!$B$5:$AS$14,44,FALSE)="No data","x",IF(VLOOKUP($B38,'Indicator Data (national)'!$B$5:$AS$14,44,FALSE)&gt;N$150,10,IF(VLOOKUP($B38,'Indicator Data (national)'!$B$5:$AS$14,44,FALSE)&lt;N$149,0,10-(N$150-VLOOKUP($B38,'Indicator Data (national)'!$B$5:$AS$14,44,FALSE))/(N$150-N$149)*10)))</f>
        <v>3.7333333333333325</v>
      </c>
      <c r="O38" s="2">
        <f>IF(VLOOKUP($B38,'Indicator Data (national)'!$B$5:$AS$14,42,FALSE)="No data","x",IF(VLOOKUP($B38,'Indicator Data (national)'!$B$5:$AS$14,42,FALSE)&gt;O$150,0,IF(VLOOKUP($B38,'Indicator Data (national)'!$B$5:$AS$14,42,FALSE)&lt;O$149,10,(O$150-VLOOKUP($B38,'Indicator Data (national)'!$B$5:$AS$14,42,FALSE))/(O$150-O$149)*10)))</f>
        <v>9.7986577181208059</v>
      </c>
      <c r="P38" s="158">
        <f t="shared" si="8"/>
        <v>6.7659955257270692</v>
      </c>
      <c r="Q38" s="2">
        <f>IF(VLOOKUP($B38,'Indicator Data (national)'!$B$5:$Q$14,16,FALSE)="No data","x",IF(VLOOKUP($B38,'Indicator Data (national)'!$B$5:$Q$14,16,FALSE)&gt;Q$150,0,IF(VLOOKUP($B38,'Indicator Data (national)'!$B$5:$Q$14,16,FALSE)&lt;Q$149,10,(Q$150-VLOOKUP($B38,'Indicator Data (national)'!$B$5:$Q$14,16,FALSE))/(Q$150-Q$149)*10)))</f>
        <v>9.6999999999999993</v>
      </c>
      <c r="R38" s="158">
        <f t="shared" si="9"/>
        <v>9.6999999999999993</v>
      </c>
      <c r="S38" s="3">
        <f t="shared" si="15"/>
        <v>8.2329977628635334</v>
      </c>
      <c r="T38" s="2">
        <f>IF(VLOOKUP($B38,'Indicator Data (national)'!$B$5:$BC$14,43,FALSE)="No data","x",IF(VLOOKUP($B38,'Indicator Data (national)'!$B$5:$BC$14,43,FALSE)&gt;T$150,10,IF(VLOOKUP($B38,'Indicator Data (national)'!$B$5:$BC$14,43,FALSE)&lt;T$149,0,(T$150-VLOOKUP($B38,'Indicator Data (national)'!$B$5:$BC$14,43,FALSE))/(T$150-T$149)*10)))</f>
        <v>8.4059639223302298</v>
      </c>
      <c r="U38" s="3">
        <f t="shared" si="10"/>
        <v>8.4059639223302298</v>
      </c>
      <c r="V38" s="5">
        <f t="shared" si="16"/>
        <v>8.3620758051854107</v>
      </c>
      <c r="W38" s="2">
        <f>IF(VLOOKUP($B38,'Indicator Data (national)'!$B$5:$AS$14,37,FALSE)="No data","x",IF(VLOOKUP($B38,'Indicator Data (national)'!$B$5:$AS$14,37,FALSE)&gt;W$150,10,IF(VLOOKUP($B38,'Indicator Data (national)'!$B$5:$AS$14,37,FALSE)&lt;W$149,0,(LOG(W$150)-LOG(VLOOKUP($B38,'Indicator Data (national)'!$B$5:$AS$14,37,FALSE)))/(LOG(W$150)-LOG(W$149))*10)))</f>
        <v>8.5251580015512456</v>
      </c>
      <c r="X38" s="2">
        <f>IF(VLOOKUP($B38,'Indicator Data (national)'!$B$5:$BB$14,45,FALSE)="No data","x",IF(VLOOKUP($B38,'Indicator Data (national)'!$B$5:$BB$14,45,FALSE)&gt;X$150,10,IF(VLOOKUP($B38,'Indicator Data (national)'!$B$5:$BB$14,45,FALSE)&lt;X$149,0,10-(X$150-VLOOKUP($B38,'Indicator Data (national)'!$B$5:$BB$14,45,FALSE))/(X$150-X$149)*10)))</f>
        <v>2.4444444444444446</v>
      </c>
      <c r="Y38" s="2">
        <f>IF(VLOOKUP($B38,'Indicator Data (national)'!$B$5:$BB$14,46,FALSE)="No data","x",IF(VLOOKUP($B38,'Indicator Data (national)'!$B$5:$BB$14,46,FALSE)&gt;Y$150,10,IF(VLOOKUP($B38,'Indicator Data (national)'!$B$5:$BB$14,46,FALSE)&lt;Y$149,0,(Y$150-VLOOKUP($B38,'Indicator Data (national)'!$B$5:$BB$14,46,FALSE))/(Y$150-Y$149)*10)))</f>
        <v>0.6</v>
      </c>
      <c r="Z38" s="156">
        <f>IF(VLOOKUP($B38,'Indicator Data (national)'!$B$5:$BB$14,48,FALSE)="No data","x",VLOOKUP($B38,'Indicator Data (national)'!$B$5:$BB$14,47,FALSE)*VLOOKUP($B38,'Indicator Data (national)'!$B$5:$BB$14,48,FALSE))</f>
        <v>12.920515991268807</v>
      </c>
      <c r="AA38" s="2">
        <f t="shared" si="11"/>
        <v>8.7079484008731196</v>
      </c>
      <c r="AB38" s="3">
        <f t="shared" si="12"/>
        <v>5.0693877117172024</v>
      </c>
      <c r="AC38" s="2">
        <f>IF(VLOOKUP($B38,'Indicator Data (national)'!$B$5:$BB$14,49,FALSE)="No data","x",IF(VLOOKUP($B38,'Indicator Data (national)'!$B$5:$BB$14,49,FALSE)&gt;AC$150,0,IF(VLOOKUP($B38,'Indicator Data (national)'!$B$5:$BB$14,49,FALSE)&lt;AC$149,10,(AC$150-VLOOKUP($B38,'Indicator Data (national)'!$B$5:$BB$14,49,FALSE))/(AC$150-AC$149)*10)))</f>
        <v>9.7799999999999994</v>
      </c>
      <c r="AD38" s="2">
        <f>IF(VLOOKUP($B38,'Indicator Data (national)'!$B$5:$BB$14,50,FALSE)="No data","x",IF(VLOOKUP($B38,'Indicator Data (national)'!$B$5:$BB$14,50,FALSE)&gt;AD$150,0,IF(VLOOKUP($B38,'Indicator Data (national)'!$B$5:$BB$14,50,FALSE)&lt;AD$149,10,(AD$150-VLOOKUP($B38,'Indicator Data (national)'!$B$5:$BB$14,50,FALSE))/(AD$150-AD$149)*10)))</f>
        <v>9.8960000000000008</v>
      </c>
      <c r="AE38" s="3">
        <f t="shared" si="13"/>
        <v>9.838000000000001</v>
      </c>
      <c r="AF38" s="2">
        <f>IF(VLOOKUP($B38,'Indicator Data (national)'!$B$5:$BB$14,51,FALSE)="No data","x",IF(VLOOKUP($B38,'Indicator Data (national)'!$B$5:$BB$14,51,FALSE)&gt;AF$150,0,IF(VLOOKUP($B38,'Indicator Data (national)'!$B$5:$BB$14,51,FALSE)&lt;AF$149,10,(AF$150-VLOOKUP($B38,'Indicator Data (national)'!$B$5:$BB$14,51,FALSE))/(AF$150-AF$149)*10)))</f>
        <v>6.7838131480000001</v>
      </c>
      <c r="AG38" s="2" t="str">
        <f>IF(VLOOKUP($B38,'Indicator Data (national)'!$B$5:$BB$14,52,FALSE)="No data","x",IF(VLOOKUP($B38,'Indicator Data (national)'!$B$5:$BB$14,52,FALSE)&gt;AG$150,0,IF(VLOOKUP($B38,'Indicator Data (national)'!$B$5:$BB$14,52,FALSE)&lt;AG$149,10,(AG$150-VLOOKUP($B38,'Indicator Data (national)'!$B$5:$BB$14,52,FALSE))/(AG$150-AG$149)*10)))</f>
        <v>x</v>
      </c>
      <c r="AH38" s="2">
        <f>IF(VLOOKUP($B38,'Indicator Data (national)'!$B$5:$BB$14,53,FALSE)="No data","x",IF(VLOOKUP($B38,'Indicator Data (national)'!$B$5:$BB$14,53,FALSE)&gt;AH$150,0,IF(VLOOKUP($B38,'Indicator Data (national)'!$B$5:$BB$14,53,FALSE)&lt;AH$149,10,(AH$150-VLOOKUP($B38,'Indicator Data (national)'!$B$5:$BB$14,53,FALSE))/(AH$150-AH$149)*10)))</f>
        <v>7.1168308930766724</v>
      </c>
      <c r="AI38" s="3">
        <f t="shared" si="14"/>
        <v>6.9503220205383363</v>
      </c>
      <c r="AJ38" s="5">
        <f t="shared" si="17"/>
        <v>7.2859032440851799</v>
      </c>
    </row>
    <row r="39" spans="1:36" s="11" customFormat="1" x14ac:dyDescent="0.25">
      <c r="A39" s="16" t="s">
        <v>402</v>
      </c>
      <c r="B39" s="11" t="s">
        <v>575</v>
      </c>
      <c r="C39" s="16" t="s">
        <v>403</v>
      </c>
      <c r="D39" s="120">
        <f>(VLOOKUP($B39,'Indicator Data (national)'!$B$5:$AP$14,39,FALSE)+VLOOKUP($B39,'Indicator Data (national)'!$B$5:$AP$14,40,FALSE)+VLOOKUP($B39,'Indicator Data (national)'!$B$5:$AP$14,41,FALSE))/VLOOKUP($B39,'Indicator Data (national)'!$B$5:$AP$14,38,FALSE)*1000000</f>
        <v>0.39744632869899588</v>
      </c>
      <c r="E39" s="2">
        <f t="shared" si="3"/>
        <v>8.0127683565050205</v>
      </c>
      <c r="F39" s="3">
        <f t="shared" si="4"/>
        <v>8.0127683565050205</v>
      </c>
      <c r="G39" s="2">
        <f>IF(VLOOKUP($B39,'Indicator Data (national)'!$B$5:$AQ$14,30,FALSE)="No data","x",IF(VLOOKUP($B39,'Indicator Data (national)'!$B$5:$AQ$14,30,FALSE)&gt;G$150,10,IF(VLOOKUP($B39,'Indicator Data (national)'!$B$5:$AQ$14,30,FALSE)&lt;G$149,0,(G$150-VLOOKUP($B39,'Indicator Data (national)'!$B$5:$AQ$14,30,FALSE))/(G$150-G$149)*10)))</f>
        <v>6.7</v>
      </c>
      <c r="H39" s="2">
        <f>IF(VLOOKUP($B39,'Indicator Data (national)'!$B$5:$AQ$14,29,FALSE)="No data","x",IF(VLOOKUP($B39,'Indicator Data (national)'!$B$5:$AQ$14,29,FALSE)&gt;H$150,10,IF(VLOOKUP($B39,'Indicator Data (national)'!$B$5:$AQ$14,29,FALSE)&lt;H$149,0,(H$150-VLOOKUP($B39,'Indicator Data (national)'!$B$5:$AQ$14,29,FALSE))/(H$150-H$149)*10)))</f>
        <v>6.0389294624328613</v>
      </c>
      <c r="I39" s="3">
        <f t="shared" si="5"/>
        <v>6.3694647312164303</v>
      </c>
      <c r="J39" s="5">
        <f t="shared" si="6"/>
        <v>7.1911165438607254</v>
      </c>
      <c r="K39" s="2">
        <f>IF(VLOOKUP($B39,'Indicator Data (national)'!$B$5:$AQ$14,33,FALSE)="No data","x",IF(VLOOKUP($B39,'Indicator Data (national)'!$B$5:$AQ$14,33,FALSE)&gt;K$150,10,IF(VLOOKUP($B39,'Indicator Data (national)'!$B$5:$AQ$14,33,FALSE)&lt;K$149,0,(K$150-VLOOKUP($B39,'Indicator Data (national)'!$B$5:$AQ$14,33,FALSE))/(K$150-K$149)*10)))</f>
        <v>9.620000000000001</v>
      </c>
      <c r="L39" s="2">
        <f>IF(VLOOKUP($B39,'Indicator Data (national)'!$B$5:$AQ$14,34,FALSE)="No data","x",IF(VLOOKUP($B39,'Indicator Data (national)'!$B$5:$AQ$14,34,FALSE)&gt;L$150,10,IF(VLOOKUP($B39,'Indicator Data (national)'!$B$5:$AQ$14,34,FALSE)&lt;L$149,0,(L$150-VLOOKUP($B39,'Indicator Data (national)'!$B$5:$AQ$14,34,FALSE))/(L$150-L$149)*10)))</f>
        <v>7.2745314607249298</v>
      </c>
      <c r="M39" s="3">
        <f t="shared" si="7"/>
        <v>8.4472657303624654</v>
      </c>
      <c r="N39" s="2">
        <f>IF(VLOOKUP($B39,'Indicator Data (national)'!$B$5:$AS$14,44,FALSE)="No data","x",IF(VLOOKUP($B39,'Indicator Data (national)'!$B$5:$AS$14,44,FALSE)&gt;N$150,10,IF(VLOOKUP($B39,'Indicator Data (national)'!$B$5:$AS$14,44,FALSE)&lt;N$149,0,10-(N$150-VLOOKUP($B39,'Indicator Data (national)'!$B$5:$AS$14,44,FALSE))/(N$150-N$149)*10)))</f>
        <v>3.7333333333333325</v>
      </c>
      <c r="O39" s="2">
        <f>IF(VLOOKUP($B39,'Indicator Data (national)'!$B$5:$AS$14,42,FALSE)="No data","x",IF(VLOOKUP($B39,'Indicator Data (national)'!$B$5:$AS$14,42,FALSE)&gt;O$150,0,IF(VLOOKUP($B39,'Indicator Data (national)'!$B$5:$AS$14,42,FALSE)&lt;O$149,10,(O$150-VLOOKUP($B39,'Indicator Data (national)'!$B$5:$AS$14,42,FALSE))/(O$150-O$149)*10)))</f>
        <v>9.7986577181208059</v>
      </c>
      <c r="P39" s="158">
        <f t="shared" si="8"/>
        <v>6.7659955257270692</v>
      </c>
      <c r="Q39" s="2">
        <f>IF(VLOOKUP($B39,'Indicator Data (national)'!$B$5:$Q$14,16,FALSE)="No data","x",IF(VLOOKUP($B39,'Indicator Data (national)'!$B$5:$Q$14,16,FALSE)&gt;Q$150,0,IF(VLOOKUP($B39,'Indicator Data (national)'!$B$5:$Q$14,16,FALSE)&lt;Q$149,10,(Q$150-VLOOKUP($B39,'Indicator Data (national)'!$B$5:$Q$14,16,FALSE))/(Q$150-Q$149)*10)))</f>
        <v>9.6999999999999993</v>
      </c>
      <c r="R39" s="158">
        <f t="shared" si="9"/>
        <v>9.6999999999999993</v>
      </c>
      <c r="S39" s="3">
        <f t="shared" si="15"/>
        <v>8.2329977628635334</v>
      </c>
      <c r="T39" s="2">
        <f>IF(VLOOKUP($B39,'Indicator Data (national)'!$B$5:$BC$14,43,FALSE)="No data","x",IF(VLOOKUP($B39,'Indicator Data (national)'!$B$5:$BC$14,43,FALSE)&gt;T$150,10,IF(VLOOKUP($B39,'Indicator Data (national)'!$B$5:$BC$14,43,FALSE)&lt;T$149,0,(T$150-VLOOKUP($B39,'Indicator Data (national)'!$B$5:$BC$14,43,FALSE))/(T$150-T$149)*10)))</f>
        <v>8.4059639223302298</v>
      </c>
      <c r="U39" s="3">
        <f t="shared" si="10"/>
        <v>8.4059639223302298</v>
      </c>
      <c r="V39" s="5">
        <f t="shared" si="16"/>
        <v>8.3620758051854107</v>
      </c>
      <c r="W39" s="2">
        <f>IF(VLOOKUP($B39,'Indicator Data (national)'!$B$5:$AS$14,37,FALSE)="No data","x",IF(VLOOKUP($B39,'Indicator Data (national)'!$B$5:$AS$14,37,FALSE)&gt;W$150,10,IF(VLOOKUP($B39,'Indicator Data (national)'!$B$5:$AS$14,37,FALSE)&lt;W$149,0,(LOG(W$150)-LOG(VLOOKUP($B39,'Indicator Data (national)'!$B$5:$AS$14,37,FALSE)))/(LOG(W$150)-LOG(W$149))*10)))</f>
        <v>8.5251580015512456</v>
      </c>
      <c r="X39" s="2">
        <f>IF(VLOOKUP($B39,'Indicator Data (national)'!$B$5:$BB$14,45,FALSE)="No data","x",IF(VLOOKUP($B39,'Indicator Data (national)'!$B$5:$BB$14,45,FALSE)&gt;X$150,10,IF(VLOOKUP($B39,'Indicator Data (national)'!$B$5:$BB$14,45,FALSE)&lt;X$149,0,10-(X$150-VLOOKUP($B39,'Indicator Data (national)'!$B$5:$BB$14,45,FALSE))/(X$150-X$149)*10)))</f>
        <v>2.4444444444444446</v>
      </c>
      <c r="Y39" s="2">
        <f>IF(VLOOKUP($B39,'Indicator Data (national)'!$B$5:$BB$14,46,FALSE)="No data","x",IF(VLOOKUP($B39,'Indicator Data (national)'!$B$5:$BB$14,46,FALSE)&gt;Y$150,10,IF(VLOOKUP($B39,'Indicator Data (national)'!$B$5:$BB$14,46,FALSE)&lt;Y$149,0,(Y$150-VLOOKUP($B39,'Indicator Data (national)'!$B$5:$BB$14,46,FALSE))/(Y$150-Y$149)*10)))</f>
        <v>0.6</v>
      </c>
      <c r="Z39" s="156">
        <f>IF(VLOOKUP($B39,'Indicator Data (national)'!$B$5:$BB$14,48,FALSE)="No data","x",VLOOKUP($B39,'Indicator Data (national)'!$B$5:$BB$14,47,FALSE)*VLOOKUP($B39,'Indicator Data (national)'!$B$5:$BB$14,48,FALSE))</f>
        <v>12.920515991268807</v>
      </c>
      <c r="AA39" s="2">
        <f t="shared" si="11"/>
        <v>8.7079484008731196</v>
      </c>
      <c r="AB39" s="3">
        <f t="shared" si="12"/>
        <v>5.0693877117172024</v>
      </c>
      <c r="AC39" s="2">
        <f>IF(VLOOKUP($B39,'Indicator Data (national)'!$B$5:$BB$14,49,FALSE)="No data","x",IF(VLOOKUP($B39,'Indicator Data (national)'!$B$5:$BB$14,49,FALSE)&gt;AC$150,0,IF(VLOOKUP($B39,'Indicator Data (national)'!$B$5:$BB$14,49,FALSE)&lt;AC$149,10,(AC$150-VLOOKUP($B39,'Indicator Data (national)'!$B$5:$BB$14,49,FALSE))/(AC$150-AC$149)*10)))</f>
        <v>9.7799999999999994</v>
      </c>
      <c r="AD39" s="2">
        <f>IF(VLOOKUP($B39,'Indicator Data (national)'!$B$5:$BB$14,50,FALSE)="No data","x",IF(VLOOKUP($B39,'Indicator Data (national)'!$B$5:$BB$14,50,FALSE)&gt;AD$150,0,IF(VLOOKUP($B39,'Indicator Data (national)'!$B$5:$BB$14,50,FALSE)&lt;AD$149,10,(AD$150-VLOOKUP($B39,'Indicator Data (national)'!$B$5:$BB$14,50,FALSE))/(AD$150-AD$149)*10)))</f>
        <v>9.8960000000000008</v>
      </c>
      <c r="AE39" s="3">
        <f t="shared" si="13"/>
        <v>9.838000000000001</v>
      </c>
      <c r="AF39" s="2">
        <f>IF(VLOOKUP($B39,'Indicator Data (national)'!$B$5:$BB$14,51,FALSE)="No data","x",IF(VLOOKUP($B39,'Indicator Data (national)'!$B$5:$BB$14,51,FALSE)&gt;AF$150,0,IF(VLOOKUP($B39,'Indicator Data (national)'!$B$5:$BB$14,51,FALSE)&lt;AF$149,10,(AF$150-VLOOKUP($B39,'Indicator Data (national)'!$B$5:$BB$14,51,FALSE))/(AF$150-AF$149)*10)))</f>
        <v>6.7838131480000001</v>
      </c>
      <c r="AG39" s="2" t="str">
        <f>IF(VLOOKUP($B39,'Indicator Data (national)'!$B$5:$BB$14,52,FALSE)="No data","x",IF(VLOOKUP($B39,'Indicator Data (national)'!$B$5:$BB$14,52,FALSE)&gt;AG$150,0,IF(VLOOKUP($B39,'Indicator Data (national)'!$B$5:$BB$14,52,FALSE)&lt;AG$149,10,(AG$150-VLOOKUP($B39,'Indicator Data (national)'!$B$5:$BB$14,52,FALSE))/(AG$150-AG$149)*10)))</f>
        <v>x</v>
      </c>
      <c r="AH39" s="2">
        <f>IF(VLOOKUP($B39,'Indicator Data (national)'!$B$5:$BB$14,53,FALSE)="No data","x",IF(VLOOKUP($B39,'Indicator Data (national)'!$B$5:$BB$14,53,FALSE)&gt;AH$150,0,IF(VLOOKUP($B39,'Indicator Data (national)'!$B$5:$BB$14,53,FALSE)&lt;AH$149,10,(AH$150-VLOOKUP($B39,'Indicator Data (national)'!$B$5:$BB$14,53,FALSE))/(AH$150-AH$149)*10)))</f>
        <v>7.1168308930766724</v>
      </c>
      <c r="AI39" s="3">
        <f t="shared" si="14"/>
        <v>6.9503220205383363</v>
      </c>
      <c r="AJ39" s="5">
        <f t="shared" si="17"/>
        <v>7.2859032440851799</v>
      </c>
    </row>
    <row r="40" spans="1:36" s="11" customFormat="1" x14ac:dyDescent="0.25">
      <c r="A40" s="16" t="s">
        <v>404</v>
      </c>
      <c r="B40" s="11" t="s">
        <v>575</v>
      </c>
      <c r="C40" s="16" t="s">
        <v>405</v>
      </c>
      <c r="D40" s="120">
        <f>(VLOOKUP($B40,'Indicator Data (national)'!$B$5:$AP$14,39,FALSE)+VLOOKUP($B40,'Indicator Data (national)'!$B$5:$AP$14,40,FALSE)+VLOOKUP($B40,'Indicator Data (national)'!$B$5:$AP$14,41,FALSE))/VLOOKUP($B40,'Indicator Data (national)'!$B$5:$AP$14,38,FALSE)*1000000</f>
        <v>0.39744632869899588</v>
      </c>
      <c r="E40" s="2">
        <f t="shared" si="3"/>
        <v>8.0127683565050205</v>
      </c>
      <c r="F40" s="3">
        <f t="shared" si="4"/>
        <v>8.0127683565050205</v>
      </c>
      <c r="G40" s="2">
        <f>IF(VLOOKUP($B40,'Indicator Data (national)'!$B$5:$AQ$14,30,FALSE)="No data","x",IF(VLOOKUP($B40,'Indicator Data (national)'!$B$5:$AQ$14,30,FALSE)&gt;G$150,10,IF(VLOOKUP($B40,'Indicator Data (national)'!$B$5:$AQ$14,30,FALSE)&lt;G$149,0,(G$150-VLOOKUP($B40,'Indicator Data (national)'!$B$5:$AQ$14,30,FALSE))/(G$150-G$149)*10)))</f>
        <v>6.7</v>
      </c>
      <c r="H40" s="2">
        <f>IF(VLOOKUP($B40,'Indicator Data (national)'!$B$5:$AQ$14,29,FALSE)="No data","x",IF(VLOOKUP($B40,'Indicator Data (national)'!$B$5:$AQ$14,29,FALSE)&gt;H$150,10,IF(VLOOKUP($B40,'Indicator Data (national)'!$B$5:$AQ$14,29,FALSE)&lt;H$149,0,(H$150-VLOOKUP($B40,'Indicator Data (national)'!$B$5:$AQ$14,29,FALSE))/(H$150-H$149)*10)))</f>
        <v>6.0389294624328613</v>
      </c>
      <c r="I40" s="3">
        <f t="shared" si="5"/>
        <v>6.3694647312164303</v>
      </c>
      <c r="J40" s="5">
        <f t="shared" si="6"/>
        <v>7.1911165438607254</v>
      </c>
      <c r="K40" s="2">
        <f>IF(VLOOKUP($B40,'Indicator Data (national)'!$B$5:$AQ$14,33,FALSE)="No data","x",IF(VLOOKUP($B40,'Indicator Data (national)'!$B$5:$AQ$14,33,FALSE)&gt;K$150,10,IF(VLOOKUP($B40,'Indicator Data (national)'!$B$5:$AQ$14,33,FALSE)&lt;K$149,0,(K$150-VLOOKUP($B40,'Indicator Data (national)'!$B$5:$AQ$14,33,FALSE))/(K$150-K$149)*10)))</f>
        <v>9.620000000000001</v>
      </c>
      <c r="L40" s="2">
        <f>IF(VLOOKUP($B40,'Indicator Data (national)'!$B$5:$AQ$14,34,FALSE)="No data","x",IF(VLOOKUP($B40,'Indicator Data (national)'!$B$5:$AQ$14,34,FALSE)&gt;L$150,10,IF(VLOOKUP($B40,'Indicator Data (national)'!$B$5:$AQ$14,34,FALSE)&lt;L$149,0,(L$150-VLOOKUP($B40,'Indicator Data (national)'!$B$5:$AQ$14,34,FALSE))/(L$150-L$149)*10)))</f>
        <v>7.2745314607249298</v>
      </c>
      <c r="M40" s="3">
        <f t="shared" si="7"/>
        <v>8.4472657303624654</v>
      </c>
      <c r="N40" s="2">
        <f>IF(VLOOKUP($B40,'Indicator Data (national)'!$B$5:$AS$14,44,FALSE)="No data","x",IF(VLOOKUP($B40,'Indicator Data (national)'!$B$5:$AS$14,44,FALSE)&gt;N$150,10,IF(VLOOKUP($B40,'Indicator Data (national)'!$B$5:$AS$14,44,FALSE)&lt;N$149,0,10-(N$150-VLOOKUP($B40,'Indicator Data (national)'!$B$5:$AS$14,44,FALSE))/(N$150-N$149)*10)))</f>
        <v>3.7333333333333325</v>
      </c>
      <c r="O40" s="2">
        <f>IF(VLOOKUP($B40,'Indicator Data (national)'!$B$5:$AS$14,42,FALSE)="No data","x",IF(VLOOKUP($B40,'Indicator Data (national)'!$B$5:$AS$14,42,FALSE)&gt;O$150,0,IF(VLOOKUP($B40,'Indicator Data (national)'!$B$5:$AS$14,42,FALSE)&lt;O$149,10,(O$150-VLOOKUP($B40,'Indicator Data (national)'!$B$5:$AS$14,42,FALSE))/(O$150-O$149)*10)))</f>
        <v>9.7986577181208059</v>
      </c>
      <c r="P40" s="158">
        <f t="shared" si="8"/>
        <v>6.7659955257270692</v>
      </c>
      <c r="Q40" s="2">
        <f>IF(VLOOKUP($B40,'Indicator Data (national)'!$B$5:$Q$14,16,FALSE)="No data","x",IF(VLOOKUP($B40,'Indicator Data (national)'!$B$5:$Q$14,16,FALSE)&gt;Q$150,0,IF(VLOOKUP($B40,'Indicator Data (national)'!$B$5:$Q$14,16,FALSE)&lt;Q$149,10,(Q$150-VLOOKUP($B40,'Indicator Data (national)'!$B$5:$Q$14,16,FALSE))/(Q$150-Q$149)*10)))</f>
        <v>9.6999999999999993</v>
      </c>
      <c r="R40" s="158">
        <f t="shared" si="9"/>
        <v>9.6999999999999993</v>
      </c>
      <c r="S40" s="3">
        <f t="shared" si="15"/>
        <v>8.2329977628635334</v>
      </c>
      <c r="T40" s="2">
        <f>IF(VLOOKUP($B40,'Indicator Data (national)'!$B$5:$BC$14,43,FALSE)="No data","x",IF(VLOOKUP($B40,'Indicator Data (national)'!$B$5:$BC$14,43,FALSE)&gt;T$150,10,IF(VLOOKUP($B40,'Indicator Data (national)'!$B$5:$BC$14,43,FALSE)&lt;T$149,0,(T$150-VLOOKUP($B40,'Indicator Data (national)'!$B$5:$BC$14,43,FALSE))/(T$150-T$149)*10)))</f>
        <v>8.4059639223302298</v>
      </c>
      <c r="U40" s="3">
        <f t="shared" si="10"/>
        <v>8.4059639223302298</v>
      </c>
      <c r="V40" s="5">
        <f t="shared" si="16"/>
        <v>8.3620758051854107</v>
      </c>
      <c r="W40" s="2">
        <f>IF(VLOOKUP($B40,'Indicator Data (national)'!$B$5:$AS$14,37,FALSE)="No data","x",IF(VLOOKUP($B40,'Indicator Data (national)'!$B$5:$AS$14,37,FALSE)&gt;W$150,10,IF(VLOOKUP($B40,'Indicator Data (national)'!$B$5:$AS$14,37,FALSE)&lt;W$149,0,(LOG(W$150)-LOG(VLOOKUP($B40,'Indicator Data (national)'!$B$5:$AS$14,37,FALSE)))/(LOG(W$150)-LOG(W$149))*10)))</f>
        <v>8.5251580015512456</v>
      </c>
      <c r="X40" s="2">
        <f>IF(VLOOKUP($B40,'Indicator Data (national)'!$B$5:$BB$14,45,FALSE)="No data","x",IF(VLOOKUP($B40,'Indicator Data (national)'!$B$5:$BB$14,45,FALSE)&gt;X$150,10,IF(VLOOKUP($B40,'Indicator Data (national)'!$B$5:$BB$14,45,FALSE)&lt;X$149,0,10-(X$150-VLOOKUP($B40,'Indicator Data (national)'!$B$5:$BB$14,45,FALSE))/(X$150-X$149)*10)))</f>
        <v>2.4444444444444446</v>
      </c>
      <c r="Y40" s="2">
        <f>IF(VLOOKUP($B40,'Indicator Data (national)'!$B$5:$BB$14,46,FALSE)="No data","x",IF(VLOOKUP($B40,'Indicator Data (national)'!$B$5:$BB$14,46,FALSE)&gt;Y$150,10,IF(VLOOKUP($B40,'Indicator Data (national)'!$B$5:$BB$14,46,FALSE)&lt;Y$149,0,(Y$150-VLOOKUP($B40,'Indicator Data (national)'!$B$5:$BB$14,46,FALSE))/(Y$150-Y$149)*10)))</f>
        <v>0.6</v>
      </c>
      <c r="Z40" s="156">
        <f>IF(VLOOKUP($B40,'Indicator Data (national)'!$B$5:$BB$14,48,FALSE)="No data","x",VLOOKUP($B40,'Indicator Data (national)'!$B$5:$BB$14,47,FALSE)*VLOOKUP($B40,'Indicator Data (national)'!$B$5:$BB$14,48,FALSE))</f>
        <v>12.920515991268807</v>
      </c>
      <c r="AA40" s="2">
        <f t="shared" si="11"/>
        <v>8.7079484008731196</v>
      </c>
      <c r="AB40" s="3">
        <f t="shared" si="12"/>
        <v>5.0693877117172024</v>
      </c>
      <c r="AC40" s="2">
        <f>IF(VLOOKUP($B40,'Indicator Data (national)'!$B$5:$BB$14,49,FALSE)="No data","x",IF(VLOOKUP($B40,'Indicator Data (national)'!$B$5:$BB$14,49,FALSE)&gt;AC$150,0,IF(VLOOKUP($B40,'Indicator Data (national)'!$B$5:$BB$14,49,FALSE)&lt;AC$149,10,(AC$150-VLOOKUP($B40,'Indicator Data (national)'!$B$5:$BB$14,49,FALSE))/(AC$150-AC$149)*10)))</f>
        <v>9.7799999999999994</v>
      </c>
      <c r="AD40" s="2">
        <f>IF(VLOOKUP($B40,'Indicator Data (national)'!$B$5:$BB$14,50,FALSE)="No data","x",IF(VLOOKUP($B40,'Indicator Data (national)'!$B$5:$BB$14,50,FALSE)&gt;AD$150,0,IF(VLOOKUP($B40,'Indicator Data (national)'!$B$5:$BB$14,50,FALSE)&lt;AD$149,10,(AD$150-VLOOKUP($B40,'Indicator Data (national)'!$B$5:$BB$14,50,FALSE))/(AD$150-AD$149)*10)))</f>
        <v>9.8960000000000008</v>
      </c>
      <c r="AE40" s="3">
        <f t="shared" si="13"/>
        <v>9.838000000000001</v>
      </c>
      <c r="AF40" s="2">
        <f>IF(VLOOKUP($B40,'Indicator Data (national)'!$B$5:$BB$14,51,FALSE)="No data","x",IF(VLOOKUP($B40,'Indicator Data (national)'!$B$5:$BB$14,51,FALSE)&gt;AF$150,0,IF(VLOOKUP($B40,'Indicator Data (national)'!$B$5:$BB$14,51,FALSE)&lt;AF$149,10,(AF$150-VLOOKUP($B40,'Indicator Data (national)'!$B$5:$BB$14,51,FALSE))/(AF$150-AF$149)*10)))</f>
        <v>6.7838131480000001</v>
      </c>
      <c r="AG40" s="2" t="str">
        <f>IF(VLOOKUP($B40,'Indicator Data (national)'!$B$5:$BB$14,52,FALSE)="No data","x",IF(VLOOKUP($B40,'Indicator Data (national)'!$B$5:$BB$14,52,FALSE)&gt;AG$150,0,IF(VLOOKUP($B40,'Indicator Data (national)'!$B$5:$BB$14,52,FALSE)&lt;AG$149,10,(AG$150-VLOOKUP($B40,'Indicator Data (national)'!$B$5:$BB$14,52,FALSE))/(AG$150-AG$149)*10)))</f>
        <v>x</v>
      </c>
      <c r="AH40" s="2">
        <f>IF(VLOOKUP($B40,'Indicator Data (national)'!$B$5:$BB$14,53,FALSE)="No data","x",IF(VLOOKUP($B40,'Indicator Data (national)'!$B$5:$BB$14,53,FALSE)&gt;AH$150,0,IF(VLOOKUP($B40,'Indicator Data (national)'!$B$5:$BB$14,53,FALSE)&lt;AH$149,10,(AH$150-VLOOKUP($B40,'Indicator Data (national)'!$B$5:$BB$14,53,FALSE))/(AH$150-AH$149)*10)))</f>
        <v>7.1168308930766724</v>
      </c>
      <c r="AI40" s="3">
        <f t="shared" si="14"/>
        <v>6.9503220205383363</v>
      </c>
      <c r="AJ40" s="5">
        <f t="shared" si="17"/>
        <v>7.2859032440851799</v>
      </c>
    </row>
    <row r="41" spans="1:36" s="11" customFormat="1" x14ac:dyDescent="0.25">
      <c r="A41" s="16" t="s">
        <v>406</v>
      </c>
      <c r="B41" s="11" t="s">
        <v>575</v>
      </c>
      <c r="C41" s="16" t="s">
        <v>407</v>
      </c>
      <c r="D41" s="120">
        <f>(VLOOKUP($B41,'Indicator Data (national)'!$B$5:$AP$14,39,FALSE)+VLOOKUP($B41,'Indicator Data (national)'!$B$5:$AP$14,40,FALSE)+VLOOKUP($B41,'Indicator Data (national)'!$B$5:$AP$14,41,FALSE))/VLOOKUP($B41,'Indicator Data (national)'!$B$5:$AP$14,38,FALSE)*1000000</f>
        <v>0.39744632869899588</v>
      </c>
      <c r="E41" s="2">
        <f t="shared" si="3"/>
        <v>8.0127683565050205</v>
      </c>
      <c r="F41" s="3">
        <f t="shared" si="4"/>
        <v>8.0127683565050205</v>
      </c>
      <c r="G41" s="2">
        <f>IF(VLOOKUP($B41,'Indicator Data (national)'!$B$5:$AQ$14,30,FALSE)="No data","x",IF(VLOOKUP($B41,'Indicator Data (national)'!$B$5:$AQ$14,30,FALSE)&gt;G$150,10,IF(VLOOKUP($B41,'Indicator Data (national)'!$B$5:$AQ$14,30,FALSE)&lt;G$149,0,(G$150-VLOOKUP($B41,'Indicator Data (national)'!$B$5:$AQ$14,30,FALSE))/(G$150-G$149)*10)))</f>
        <v>6.7</v>
      </c>
      <c r="H41" s="2">
        <f>IF(VLOOKUP($B41,'Indicator Data (national)'!$B$5:$AQ$14,29,FALSE)="No data","x",IF(VLOOKUP($B41,'Indicator Data (national)'!$B$5:$AQ$14,29,FALSE)&gt;H$150,10,IF(VLOOKUP($B41,'Indicator Data (national)'!$B$5:$AQ$14,29,FALSE)&lt;H$149,0,(H$150-VLOOKUP($B41,'Indicator Data (national)'!$B$5:$AQ$14,29,FALSE))/(H$150-H$149)*10)))</f>
        <v>6.0389294624328613</v>
      </c>
      <c r="I41" s="3">
        <f t="shared" si="5"/>
        <v>6.3694647312164303</v>
      </c>
      <c r="J41" s="5">
        <f t="shared" si="6"/>
        <v>7.1911165438607254</v>
      </c>
      <c r="K41" s="2">
        <f>IF(VLOOKUP($B41,'Indicator Data (national)'!$B$5:$AQ$14,33,FALSE)="No data","x",IF(VLOOKUP($B41,'Indicator Data (national)'!$B$5:$AQ$14,33,FALSE)&gt;K$150,10,IF(VLOOKUP($B41,'Indicator Data (national)'!$B$5:$AQ$14,33,FALSE)&lt;K$149,0,(K$150-VLOOKUP($B41,'Indicator Data (national)'!$B$5:$AQ$14,33,FALSE))/(K$150-K$149)*10)))</f>
        <v>9.620000000000001</v>
      </c>
      <c r="L41" s="2">
        <f>IF(VLOOKUP($B41,'Indicator Data (national)'!$B$5:$AQ$14,34,FALSE)="No data","x",IF(VLOOKUP($B41,'Indicator Data (national)'!$B$5:$AQ$14,34,FALSE)&gt;L$150,10,IF(VLOOKUP($B41,'Indicator Data (national)'!$B$5:$AQ$14,34,FALSE)&lt;L$149,0,(L$150-VLOOKUP($B41,'Indicator Data (national)'!$B$5:$AQ$14,34,FALSE))/(L$150-L$149)*10)))</f>
        <v>7.2745314607249298</v>
      </c>
      <c r="M41" s="3">
        <f t="shared" si="7"/>
        <v>8.4472657303624654</v>
      </c>
      <c r="N41" s="2">
        <f>IF(VLOOKUP($B41,'Indicator Data (national)'!$B$5:$AS$14,44,FALSE)="No data","x",IF(VLOOKUP($B41,'Indicator Data (national)'!$B$5:$AS$14,44,FALSE)&gt;N$150,10,IF(VLOOKUP($B41,'Indicator Data (national)'!$B$5:$AS$14,44,FALSE)&lt;N$149,0,10-(N$150-VLOOKUP($B41,'Indicator Data (national)'!$B$5:$AS$14,44,FALSE))/(N$150-N$149)*10)))</f>
        <v>3.7333333333333325</v>
      </c>
      <c r="O41" s="2">
        <f>IF(VLOOKUP($B41,'Indicator Data (national)'!$B$5:$AS$14,42,FALSE)="No data","x",IF(VLOOKUP($B41,'Indicator Data (national)'!$B$5:$AS$14,42,FALSE)&gt;O$150,0,IF(VLOOKUP($B41,'Indicator Data (national)'!$B$5:$AS$14,42,FALSE)&lt;O$149,10,(O$150-VLOOKUP($B41,'Indicator Data (national)'!$B$5:$AS$14,42,FALSE))/(O$150-O$149)*10)))</f>
        <v>9.7986577181208059</v>
      </c>
      <c r="P41" s="158">
        <f t="shared" si="8"/>
        <v>6.7659955257270692</v>
      </c>
      <c r="Q41" s="2">
        <f>IF(VLOOKUP($B41,'Indicator Data (national)'!$B$5:$Q$14,16,FALSE)="No data","x",IF(VLOOKUP($B41,'Indicator Data (national)'!$B$5:$Q$14,16,FALSE)&gt;Q$150,0,IF(VLOOKUP($B41,'Indicator Data (national)'!$B$5:$Q$14,16,FALSE)&lt;Q$149,10,(Q$150-VLOOKUP($B41,'Indicator Data (national)'!$B$5:$Q$14,16,FALSE))/(Q$150-Q$149)*10)))</f>
        <v>9.6999999999999993</v>
      </c>
      <c r="R41" s="158">
        <f t="shared" si="9"/>
        <v>9.6999999999999993</v>
      </c>
      <c r="S41" s="3">
        <f t="shared" si="15"/>
        <v>8.2329977628635334</v>
      </c>
      <c r="T41" s="2">
        <f>IF(VLOOKUP($B41,'Indicator Data (national)'!$B$5:$BC$14,43,FALSE)="No data","x",IF(VLOOKUP($B41,'Indicator Data (national)'!$B$5:$BC$14,43,FALSE)&gt;T$150,10,IF(VLOOKUP($B41,'Indicator Data (national)'!$B$5:$BC$14,43,FALSE)&lt;T$149,0,(T$150-VLOOKUP($B41,'Indicator Data (national)'!$B$5:$BC$14,43,FALSE))/(T$150-T$149)*10)))</f>
        <v>8.4059639223302298</v>
      </c>
      <c r="U41" s="3">
        <f t="shared" si="10"/>
        <v>8.4059639223302298</v>
      </c>
      <c r="V41" s="5">
        <f t="shared" si="16"/>
        <v>8.3620758051854107</v>
      </c>
      <c r="W41" s="2">
        <f>IF(VLOOKUP($B41,'Indicator Data (national)'!$B$5:$AS$14,37,FALSE)="No data","x",IF(VLOOKUP($B41,'Indicator Data (national)'!$B$5:$AS$14,37,FALSE)&gt;W$150,10,IF(VLOOKUP($B41,'Indicator Data (national)'!$B$5:$AS$14,37,FALSE)&lt;W$149,0,(LOG(W$150)-LOG(VLOOKUP($B41,'Indicator Data (national)'!$B$5:$AS$14,37,FALSE)))/(LOG(W$150)-LOG(W$149))*10)))</f>
        <v>8.5251580015512456</v>
      </c>
      <c r="X41" s="2">
        <f>IF(VLOOKUP($B41,'Indicator Data (national)'!$B$5:$BB$14,45,FALSE)="No data","x",IF(VLOOKUP($B41,'Indicator Data (national)'!$B$5:$BB$14,45,FALSE)&gt;X$150,10,IF(VLOOKUP($B41,'Indicator Data (national)'!$B$5:$BB$14,45,FALSE)&lt;X$149,0,10-(X$150-VLOOKUP($B41,'Indicator Data (national)'!$B$5:$BB$14,45,FALSE))/(X$150-X$149)*10)))</f>
        <v>2.4444444444444446</v>
      </c>
      <c r="Y41" s="2">
        <f>IF(VLOOKUP($B41,'Indicator Data (national)'!$B$5:$BB$14,46,FALSE)="No data","x",IF(VLOOKUP($B41,'Indicator Data (national)'!$B$5:$BB$14,46,FALSE)&gt;Y$150,10,IF(VLOOKUP($B41,'Indicator Data (national)'!$B$5:$BB$14,46,FALSE)&lt;Y$149,0,(Y$150-VLOOKUP($B41,'Indicator Data (national)'!$B$5:$BB$14,46,FALSE))/(Y$150-Y$149)*10)))</f>
        <v>0.6</v>
      </c>
      <c r="Z41" s="156">
        <f>IF(VLOOKUP($B41,'Indicator Data (national)'!$B$5:$BB$14,48,FALSE)="No data","x",VLOOKUP($B41,'Indicator Data (national)'!$B$5:$BB$14,47,FALSE)*VLOOKUP($B41,'Indicator Data (national)'!$B$5:$BB$14,48,FALSE))</f>
        <v>12.920515991268807</v>
      </c>
      <c r="AA41" s="2">
        <f t="shared" si="11"/>
        <v>8.7079484008731196</v>
      </c>
      <c r="AB41" s="3">
        <f t="shared" si="12"/>
        <v>5.0693877117172024</v>
      </c>
      <c r="AC41" s="2">
        <f>IF(VLOOKUP($B41,'Indicator Data (national)'!$B$5:$BB$14,49,FALSE)="No data","x",IF(VLOOKUP($B41,'Indicator Data (national)'!$B$5:$BB$14,49,FALSE)&gt;AC$150,0,IF(VLOOKUP($B41,'Indicator Data (national)'!$B$5:$BB$14,49,FALSE)&lt;AC$149,10,(AC$150-VLOOKUP($B41,'Indicator Data (national)'!$B$5:$BB$14,49,FALSE))/(AC$150-AC$149)*10)))</f>
        <v>9.7799999999999994</v>
      </c>
      <c r="AD41" s="2">
        <f>IF(VLOOKUP($B41,'Indicator Data (national)'!$B$5:$BB$14,50,FALSE)="No data","x",IF(VLOOKUP($B41,'Indicator Data (national)'!$B$5:$BB$14,50,FALSE)&gt;AD$150,0,IF(VLOOKUP($B41,'Indicator Data (national)'!$B$5:$BB$14,50,FALSE)&lt;AD$149,10,(AD$150-VLOOKUP($B41,'Indicator Data (national)'!$B$5:$BB$14,50,FALSE))/(AD$150-AD$149)*10)))</f>
        <v>9.8960000000000008</v>
      </c>
      <c r="AE41" s="3">
        <f t="shared" si="13"/>
        <v>9.838000000000001</v>
      </c>
      <c r="AF41" s="2">
        <f>IF(VLOOKUP($B41,'Indicator Data (national)'!$B$5:$BB$14,51,FALSE)="No data","x",IF(VLOOKUP($B41,'Indicator Data (national)'!$B$5:$BB$14,51,FALSE)&gt;AF$150,0,IF(VLOOKUP($B41,'Indicator Data (national)'!$B$5:$BB$14,51,FALSE)&lt;AF$149,10,(AF$150-VLOOKUP($B41,'Indicator Data (national)'!$B$5:$BB$14,51,FALSE))/(AF$150-AF$149)*10)))</f>
        <v>6.7838131480000001</v>
      </c>
      <c r="AG41" s="2" t="str">
        <f>IF(VLOOKUP($B41,'Indicator Data (national)'!$B$5:$BB$14,52,FALSE)="No data","x",IF(VLOOKUP($B41,'Indicator Data (national)'!$B$5:$BB$14,52,FALSE)&gt;AG$150,0,IF(VLOOKUP($B41,'Indicator Data (national)'!$B$5:$BB$14,52,FALSE)&lt;AG$149,10,(AG$150-VLOOKUP($B41,'Indicator Data (national)'!$B$5:$BB$14,52,FALSE))/(AG$150-AG$149)*10)))</f>
        <v>x</v>
      </c>
      <c r="AH41" s="2">
        <f>IF(VLOOKUP($B41,'Indicator Data (national)'!$B$5:$BB$14,53,FALSE)="No data","x",IF(VLOOKUP($B41,'Indicator Data (national)'!$B$5:$BB$14,53,FALSE)&gt;AH$150,0,IF(VLOOKUP($B41,'Indicator Data (national)'!$B$5:$BB$14,53,FALSE)&lt;AH$149,10,(AH$150-VLOOKUP($B41,'Indicator Data (national)'!$B$5:$BB$14,53,FALSE))/(AH$150-AH$149)*10)))</f>
        <v>7.1168308930766724</v>
      </c>
      <c r="AI41" s="3">
        <f t="shared" si="14"/>
        <v>6.9503220205383363</v>
      </c>
      <c r="AJ41" s="5">
        <f t="shared" si="17"/>
        <v>7.2859032440851799</v>
      </c>
    </row>
    <row r="42" spans="1:36" s="11" customFormat="1" x14ac:dyDescent="0.25">
      <c r="A42" s="16" t="s">
        <v>409</v>
      </c>
      <c r="B42" s="11" t="s">
        <v>576</v>
      </c>
      <c r="C42" s="126" t="s">
        <v>634</v>
      </c>
      <c r="D42" s="120">
        <f>(VLOOKUP($B42,'Indicator Data (national)'!$B$5:$AP$14,39,FALSE)+VLOOKUP($B42,'Indicator Data (national)'!$B$5:$AP$14,40,FALSE)+VLOOKUP($B42,'Indicator Data (national)'!$B$5:$AP$14,41,FALSE))/VLOOKUP($B42,'Indicator Data (national)'!$B$5:$AP$14,38,FALSE)*1000000</f>
        <v>0.3850863279901553</v>
      </c>
      <c r="E42" s="2">
        <f t="shared" si="3"/>
        <v>8.0745683600492235</v>
      </c>
      <c r="F42" s="3">
        <f t="shared" si="4"/>
        <v>8.0745683600492235</v>
      </c>
      <c r="G42" s="2">
        <f>IF(VLOOKUP($B42,'Indicator Data (national)'!$B$5:$AQ$14,30,FALSE)="No data","x",IF(VLOOKUP($B42,'Indicator Data (national)'!$B$5:$AQ$14,30,FALSE)&gt;G$150,10,IF(VLOOKUP($B42,'Indicator Data (national)'!$B$5:$AQ$14,30,FALSE)&lt;G$149,0,(G$150-VLOOKUP($B42,'Indicator Data (national)'!$B$5:$AQ$14,30,FALSE))/(G$150-G$149)*10)))</f>
        <v>7.5</v>
      </c>
      <c r="H42" s="2">
        <f>IF(VLOOKUP($B42,'Indicator Data (national)'!$B$5:$AQ$14,29,FALSE)="No data","x",IF(VLOOKUP($B42,'Indicator Data (national)'!$B$5:$AQ$14,29,FALSE)&gt;H$150,10,IF(VLOOKUP($B42,'Indicator Data (national)'!$B$5:$AQ$14,29,FALSE)&lt;H$149,0,(H$150-VLOOKUP($B42,'Indicator Data (national)'!$B$5:$AQ$14,29,FALSE))/(H$150-H$149)*10)))</f>
        <v>5.9728583693504333</v>
      </c>
      <c r="I42" s="3">
        <f t="shared" si="5"/>
        <v>6.7364291846752167</v>
      </c>
      <c r="J42" s="5">
        <f t="shared" si="6"/>
        <v>7.4054987723622201</v>
      </c>
      <c r="K42" s="2">
        <f>IF(VLOOKUP($B42,'Indicator Data (national)'!$B$5:$AQ$14,33,FALSE)="No data","x",IF(VLOOKUP($B42,'Indicator Data (national)'!$B$5:$AQ$14,33,FALSE)&gt;K$150,10,IF(VLOOKUP($B42,'Indicator Data (national)'!$B$5:$AQ$14,33,FALSE)&lt;K$149,0,(K$150-VLOOKUP($B42,'Indicator Data (national)'!$B$5:$AQ$14,33,FALSE))/(K$150-K$149)*10)))</f>
        <v>2.2000000000000002</v>
      </c>
      <c r="L42" s="2">
        <f>IF(VLOOKUP($B42,'Indicator Data (national)'!$B$5:$AQ$14,34,FALSE)="No data","x",IF(VLOOKUP($B42,'Indicator Data (national)'!$B$5:$AQ$14,34,FALSE)&gt;L$150,10,IF(VLOOKUP($B42,'Indicator Data (national)'!$B$5:$AQ$14,34,FALSE)&lt;L$149,0,(L$150-VLOOKUP($B42,'Indicator Data (national)'!$B$5:$AQ$14,34,FALSE))/(L$150-L$149)*10)))</f>
        <v>2.8235954477835907</v>
      </c>
      <c r="M42" s="3">
        <f t="shared" si="7"/>
        <v>2.5117977238917955</v>
      </c>
      <c r="N42" s="2">
        <f>IF(VLOOKUP($B42,'Indicator Data (national)'!$B$5:$AS$14,44,FALSE)="No data","x",IF(VLOOKUP($B42,'Indicator Data (national)'!$B$5:$AS$14,44,FALSE)&gt;N$150,10,IF(VLOOKUP($B42,'Indicator Data (national)'!$B$5:$AS$14,44,FALSE)&lt;N$149,0,10-(N$150-VLOOKUP($B42,'Indicator Data (national)'!$B$5:$AS$14,44,FALSE))/(N$150-N$149)*10)))</f>
        <v>3.9000000000000004</v>
      </c>
      <c r="O42" s="2">
        <f>IF(VLOOKUP($B42,'Indicator Data (national)'!$B$5:$AS$14,42,FALSE)="No data","x",IF(VLOOKUP($B42,'Indicator Data (national)'!$B$5:$AS$14,42,FALSE)&gt;O$150,0,IF(VLOOKUP($B42,'Indicator Data (national)'!$B$5:$AS$14,42,FALSE)&lt;O$149,10,(O$150-VLOOKUP($B42,'Indicator Data (national)'!$B$5:$AS$14,42,FALSE))/(O$150-O$149)*10)))</f>
        <v>9.3507578421680311</v>
      </c>
      <c r="P42" s="158">
        <f t="shared" si="8"/>
        <v>6.6253789210840157</v>
      </c>
      <c r="Q42" s="2">
        <f>IF(VLOOKUP($B42,'Indicator Data (national)'!$B$5:$Q$14,16,FALSE)="No data","x",IF(VLOOKUP($B42,'Indicator Data (national)'!$B$5:$Q$14,16,FALSE)&gt;Q$150,0,IF(VLOOKUP($B42,'Indicator Data (national)'!$B$5:$Q$14,16,FALSE)&lt;Q$149,10,(Q$150-VLOOKUP($B42,'Indicator Data (national)'!$B$5:$Q$14,16,FALSE))/(Q$150-Q$149)*10)))</f>
        <v>8.1999999999999993</v>
      </c>
      <c r="R42" s="158">
        <f t="shared" si="9"/>
        <v>8.1999999999999993</v>
      </c>
      <c r="S42" s="3">
        <f t="shared" si="15"/>
        <v>7.4126894605420075</v>
      </c>
      <c r="T42" s="2">
        <f>IF(VLOOKUP($B42,'Indicator Data (national)'!$B$5:$BC$14,43,FALSE)="No data","x",IF(VLOOKUP($B42,'Indicator Data (national)'!$B$5:$BC$14,43,FALSE)&gt;T$150,10,IF(VLOOKUP($B42,'Indicator Data (national)'!$B$5:$BC$14,43,FALSE)&lt;T$149,0,(T$150-VLOOKUP($B42,'Indicator Data (national)'!$B$5:$BC$14,43,FALSE))/(T$150-T$149)*10)))</f>
        <v>9.8647237723687979</v>
      </c>
      <c r="U42" s="3">
        <f t="shared" si="10"/>
        <v>9.8647237723687979</v>
      </c>
      <c r="V42" s="5">
        <f t="shared" si="16"/>
        <v>6.5964036522675329</v>
      </c>
      <c r="W42" s="2">
        <f>IF(VLOOKUP($B42,'Indicator Data (national)'!$B$5:$AS$14,37,FALSE)="No data","x",IF(VLOOKUP($B42,'Indicator Data (national)'!$B$5:$AS$14,37,FALSE)&gt;W$150,10,IF(VLOOKUP($B42,'Indicator Data (national)'!$B$5:$AS$14,37,FALSE)&lt;W$149,0,(LOG(W$150)-LOG(VLOOKUP($B42,'Indicator Data (national)'!$B$5:$AS$14,37,FALSE)))/(LOG(W$150)-LOG(W$149))*10)))</f>
        <v>7.6457347942026841</v>
      </c>
      <c r="X42" s="2">
        <f>IF(VLOOKUP($B42,'Indicator Data (national)'!$B$5:$BB$14,45,FALSE)="No data","x",IF(VLOOKUP($B42,'Indicator Data (national)'!$B$5:$BB$14,45,FALSE)&gt;X$150,10,IF(VLOOKUP($B42,'Indicator Data (national)'!$B$5:$BB$14,45,FALSE)&lt;X$149,0,10-(X$150-VLOOKUP($B42,'Indicator Data (national)'!$B$5:$BB$14,45,FALSE))/(X$150-X$149)*10)))</f>
        <v>6.2222222222222223</v>
      </c>
      <c r="Y42" s="2">
        <f>IF(VLOOKUP($B42,'Indicator Data (national)'!$B$5:$BB$14,46,FALSE)="No data","x",IF(VLOOKUP($B42,'Indicator Data (national)'!$B$5:$BB$14,46,FALSE)&gt;Y$150,10,IF(VLOOKUP($B42,'Indicator Data (national)'!$B$5:$BB$14,46,FALSE)&lt;Y$149,0,(Y$150-VLOOKUP($B42,'Indicator Data (national)'!$B$5:$BB$14,46,FALSE))/(Y$150-Y$149)*10)))</f>
        <v>8</v>
      </c>
      <c r="Z42" s="156">
        <f>IF(VLOOKUP($B42,'Indicator Data (national)'!$B$5:$BB$14,48,FALSE)="No data","x",VLOOKUP($B42,'Indicator Data (national)'!$B$5:$BB$14,47,FALSE)*VLOOKUP($B42,'Indicator Data (national)'!$B$5:$BB$14,48,FALSE))</f>
        <v>9.814910769612494</v>
      </c>
      <c r="AA42" s="2">
        <f t="shared" si="11"/>
        <v>9.0185089230387501</v>
      </c>
      <c r="AB42" s="3">
        <f t="shared" si="12"/>
        <v>7.7216164848659146</v>
      </c>
      <c r="AC42" s="2">
        <f>IF(VLOOKUP($B42,'Indicator Data (national)'!$B$5:$BB$14,49,FALSE)="No data","x",IF(VLOOKUP($B42,'Indicator Data (national)'!$B$5:$BB$14,49,FALSE)&gt;AC$150,0,IF(VLOOKUP($B42,'Indicator Data (national)'!$B$5:$BB$14,49,FALSE)&lt;AC$149,10,(AC$150-VLOOKUP($B42,'Indicator Data (national)'!$B$5:$BB$14,49,FALSE))/(AC$150-AC$149)*10)))</f>
        <v>8.6440000000000001</v>
      </c>
      <c r="AD42" s="2">
        <f>IF(VLOOKUP($B42,'Indicator Data (national)'!$B$5:$BB$14,50,FALSE)="No data","x",IF(VLOOKUP($B42,'Indicator Data (national)'!$B$5:$BB$14,50,FALSE)&gt;AD$150,0,IF(VLOOKUP($B42,'Indicator Data (national)'!$B$5:$BB$14,50,FALSE)&lt;AD$149,10,(AD$150-VLOOKUP($B42,'Indicator Data (national)'!$B$5:$BB$14,50,FALSE))/(AD$150-AD$149)*10)))</f>
        <v>8.6471999999999998</v>
      </c>
      <c r="AE42" s="3">
        <f t="shared" si="13"/>
        <v>8.6456</v>
      </c>
      <c r="AF42" s="2">
        <f>IF(VLOOKUP($B42,'Indicator Data (national)'!$B$5:$BB$14,51,FALSE)="No data","x",IF(VLOOKUP($B42,'Indicator Data (national)'!$B$5:$BB$14,51,FALSE)&gt;AF$150,0,IF(VLOOKUP($B42,'Indicator Data (national)'!$B$5:$BB$14,51,FALSE)&lt;AF$149,10,(AF$150-VLOOKUP($B42,'Indicator Data (national)'!$B$5:$BB$14,51,FALSE))/(AF$150-AF$149)*10)))</f>
        <v>0</v>
      </c>
      <c r="AG42" s="2">
        <f>IF(VLOOKUP($B42,'Indicator Data (national)'!$B$5:$BB$14,52,FALSE)="No data","x",IF(VLOOKUP($B42,'Indicator Data (national)'!$B$5:$BB$14,52,FALSE)&gt;AG$150,0,IF(VLOOKUP($B42,'Indicator Data (national)'!$B$5:$BB$14,52,FALSE)&lt;AG$149,10,(AG$150-VLOOKUP($B42,'Indicator Data (national)'!$B$5:$BB$14,52,FALSE))/(AG$150-AG$149)*10)))</f>
        <v>0</v>
      </c>
      <c r="AH42" s="2">
        <f>IF(VLOOKUP($B42,'Indicator Data (national)'!$B$5:$BB$14,53,FALSE)="No data","x",IF(VLOOKUP($B42,'Indicator Data (national)'!$B$5:$BB$14,53,FALSE)&gt;AH$150,0,IF(VLOOKUP($B42,'Indicator Data (national)'!$B$5:$BB$14,53,FALSE)&lt;AH$149,10,(AH$150-VLOOKUP($B42,'Indicator Data (national)'!$B$5:$BB$14,53,FALSE))/(AH$150-AH$149)*10)))</f>
        <v>5.1780682960214941</v>
      </c>
      <c r="AI42" s="3">
        <f t="shared" si="14"/>
        <v>1.726022765340498</v>
      </c>
      <c r="AJ42" s="5">
        <f t="shared" si="17"/>
        <v>6.0310797500688045</v>
      </c>
    </row>
    <row r="43" spans="1:36" s="11" customFormat="1" x14ac:dyDescent="0.25">
      <c r="A43" s="16" t="s">
        <v>410</v>
      </c>
      <c r="B43" s="11" t="s">
        <v>576</v>
      </c>
      <c r="C43" s="126" t="s">
        <v>635</v>
      </c>
      <c r="D43" s="120">
        <f>(VLOOKUP($B43,'Indicator Data (national)'!$B$5:$AP$14,39,FALSE)+VLOOKUP($B43,'Indicator Data (national)'!$B$5:$AP$14,40,FALSE)+VLOOKUP($B43,'Indicator Data (national)'!$B$5:$AP$14,41,FALSE))/VLOOKUP($B43,'Indicator Data (national)'!$B$5:$AP$14,38,FALSE)*1000000</f>
        <v>0.3850863279901553</v>
      </c>
      <c r="E43" s="2">
        <f t="shared" si="3"/>
        <v>8.0745683600492235</v>
      </c>
      <c r="F43" s="3">
        <f t="shared" si="4"/>
        <v>8.0745683600492235</v>
      </c>
      <c r="G43" s="2">
        <f>IF(VLOOKUP($B43,'Indicator Data (national)'!$B$5:$AQ$14,30,FALSE)="No data","x",IF(VLOOKUP($B43,'Indicator Data (national)'!$B$5:$AQ$14,30,FALSE)&gt;G$150,10,IF(VLOOKUP($B43,'Indicator Data (national)'!$B$5:$AQ$14,30,FALSE)&lt;G$149,0,(G$150-VLOOKUP($B43,'Indicator Data (national)'!$B$5:$AQ$14,30,FALSE))/(G$150-G$149)*10)))</f>
        <v>7.5</v>
      </c>
      <c r="H43" s="2">
        <f>IF(VLOOKUP($B43,'Indicator Data (national)'!$B$5:$AQ$14,29,FALSE)="No data","x",IF(VLOOKUP($B43,'Indicator Data (national)'!$B$5:$AQ$14,29,FALSE)&gt;H$150,10,IF(VLOOKUP($B43,'Indicator Data (national)'!$B$5:$AQ$14,29,FALSE)&lt;H$149,0,(H$150-VLOOKUP($B43,'Indicator Data (national)'!$B$5:$AQ$14,29,FALSE))/(H$150-H$149)*10)))</f>
        <v>5.9728583693504333</v>
      </c>
      <c r="I43" s="3">
        <f t="shared" si="5"/>
        <v>6.7364291846752167</v>
      </c>
      <c r="J43" s="5">
        <f t="shared" si="6"/>
        <v>7.4054987723622201</v>
      </c>
      <c r="K43" s="2">
        <f>IF(VLOOKUP($B43,'Indicator Data (national)'!$B$5:$AQ$14,33,FALSE)="No data","x",IF(VLOOKUP($B43,'Indicator Data (national)'!$B$5:$AQ$14,33,FALSE)&gt;K$150,10,IF(VLOOKUP($B43,'Indicator Data (national)'!$B$5:$AQ$14,33,FALSE)&lt;K$149,0,(K$150-VLOOKUP($B43,'Indicator Data (national)'!$B$5:$AQ$14,33,FALSE))/(K$150-K$149)*10)))</f>
        <v>2.2000000000000002</v>
      </c>
      <c r="L43" s="2">
        <f>IF(VLOOKUP($B43,'Indicator Data (national)'!$B$5:$AQ$14,34,FALSE)="No data","x",IF(VLOOKUP($B43,'Indicator Data (national)'!$B$5:$AQ$14,34,FALSE)&gt;L$150,10,IF(VLOOKUP($B43,'Indicator Data (national)'!$B$5:$AQ$14,34,FALSE)&lt;L$149,0,(L$150-VLOOKUP($B43,'Indicator Data (national)'!$B$5:$AQ$14,34,FALSE))/(L$150-L$149)*10)))</f>
        <v>2.8235954477835907</v>
      </c>
      <c r="M43" s="3">
        <f t="shared" si="7"/>
        <v>2.5117977238917955</v>
      </c>
      <c r="N43" s="2">
        <f>IF(VLOOKUP($B43,'Indicator Data (national)'!$B$5:$AS$14,44,FALSE)="No data","x",IF(VLOOKUP($B43,'Indicator Data (national)'!$B$5:$AS$14,44,FALSE)&gt;N$150,10,IF(VLOOKUP($B43,'Indicator Data (national)'!$B$5:$AS$14,44,FALSE)&lt;N$149,0,10-(N$150-VLOOKUP($B43,'Indicator Data (national)'!$B$5:$AS$14,44,FALSE))/(N$150-N$149)*10)))</f>
        <v>3.9000000000000004</v>
      </c>
      <c r="O43" s="2">
        <f>IF(VLOOKUP($B43,'Indicator Data (national)'!$B$5:$AS$14,42,FALSE)="No data","x",IF(VLOOKUP($B43,'Indicator Data (national)'!$B$5:$AS$14,42,FALSE)&gt;O$150,0,IF(VLOOKUP($B43,'Indicator Data (national)'!$B$5:$AS$14,42,FALSE)&lt;O$149,10,(O$150-VLOOKUP($B43,'Indicator Data (national)'!$B$5:$AS$14,42,FALSE))/(O$150-O$149)*10)))</f>
        <v>9.3507578421680311</v>
      </c>
      <c r="P43" s="158">
        <f t="shared" si="8"/>
        <v>6.6253789210840157</v>
      </c>
      <c r="Q43" s="2">
        <f>IF(VLOOKUP($B43,'Indicator Data (national)'!$B$5:$Q$14,16,FALSE)="No data","x",IF(VLOOKUP($B43,'Indicator Data (national)'!$B$5:$Q$14,16,FALSE)&gt;Q$150,0,IF(VLOOKUP($B43,'Indicator Data (national)'!$B$5:$Q$14,16,FALSE)&lt;Q$149,10,(Q$150-VLOOKUP($B43,'Indicator Data (national)'!$B$5:$Q$14,16,FALSE))/(Q$150-Q$149)*10)))</f>
        <v>8.1999999999999993</v>
      </c>
      <c r="R43" s="158">
        <f t="shared" si="9"/>
        <v>8.1999999999999993</v>
      </c>
      <c r="S43" s="3">
        <f t="shared" si="15"/>
        <v>7.4126894605420075</v>
      </c>
      <c r="T43" s="2">
        <f>IF(VLOOKUP($B43,'Indicator Data (national)'!$B$5:$BC$14,43,FALSE)="No data","x",IF(VLOOKUP($B43,'Indicator Data (national)'!$B$5:$BC$14,43,FALSE)&gt;T$150,10,IF(VLOOKUP($B43,'Indicator Data (national)'!$B$5:$BC$14,43,FALSE)&lt;T$149,0,(T$150-VLOOKUP($B43,'Indicator Data (national)'!$B$5:$BC$14,43,FALSE))/(T$150-T$149)*10)))</f>
        <v>9.8647237723687979</v>
      </c>
      <c r="U43" s="3">
        <f t="shared" si="10"/>
        <v>9.8647237723687979</v>
      </c>
      <c r="V43" s="5">
        <f t="shared" si="16"/>
        <v>6.5964036522675329</v>
      </c>
      <c r="W43" s="2">
        <f>IF(VLOOKUP($B43,'Indicator Data (national)'!$B$5:$AS$14,37,FALSE)="No data","x",IF(VLOOKUP($B43,'Indicator Data (national)'!$B$5:$AS$14,37,FALSE)&gt;W$150,10,IF(VLOOKUP($B43,'Indicator Data (national)'!$B$5:$AS$14,37,FALSE)&lt;W$149,0,(LOG(W$150)-LOG(VLOOKUP($B43,'Indicator Data (national)'!$B$5:$AS$14,37,FALSE)))/(LOG(W$150)-LOG(W$149))*10)))</f>
        <v>7.6457347942026841</v>
      </c>
      <c r="X43" s="2">
        <f>IF(VLOOKUP($B43,'Indicator Data (national)'!$B$5:$BB$14,45,FALSE)="No data","x",IF(VLOOKUP($B43,'Indicator Data (national)'!$B$5:$BB$14,45,FALSE)&gt;X$150,10,IF(VLOOKUP($B43,'Indicator Data (national)'!$B$5:$BB$14,45,FALSE)&lt;X$149,0,10-(X$150-VLOOKUP($B43,'Indicator Data (national)'!$B$5:$BB$14,45,FALSE))/(X$150-X$149)*10)))</f>
        <v>6.2222222222222223</v>
      </c>
      <c r="Y43" s="2">
        <f>IF(VLOOKUP($B43,'Indicator Data (national)'!$B$5:$BB$14,46,FALSE)="No data","x",IF(VLOOKUP($B43,'Indicator Data (national)'!$B$5:$BB$14,46,FALSE)&gt;Y$150,10,IF(VLOOKUP($B43,'Indicator Data (national)'!$B$5:$BB$14,46,FALSE)&lt;Y$149,0,(Y$150-VLOOKUP($B43,'Indicator Data (national)'!$B$5:$BB$14,46,FALSE))/(Y$150-Y$149)*10)))</f>
        <v>8</v>
      </c>
      <c r="Z43" s="156">
        <f>IF(VLOOKUP($B43,'Indicator Data (national)'!$B$5:$BB$14,48,FALSE)="No data","x",VLOOKUP($B43,'Indicator Data (national)'!$B$5:$BB$14,47,FALSE)*VLOOKUP($B43,'Indicator Data (national)'!$B$5:$BB$14,48,FALSE))</f>
        <v>9.814910769612494</v>
      </c>
      <c r="AA43" s="2">
        <f t="shared" si="11"/>
        <v>9.0185089230387501</v>
      </c>
      <c r="AB43" s="3">
        <f t="shared" si="12"/>
        <v>7.7216164848659146</v>
      </c>
      <c r="AC43" s="2">
        <f>IF(VLOOKUP($B43,'Indicator Data (national)'!$B$5:$BB$14,49,FALSE)="No data","x",IF(VLOOKUP($B43,'Indicator Data (national)'!$B$5:$BB$14,49,FALSE)&gt;AC$150,0,IF(VLOOKUP($B43,'Indicator Data (national)'!$B$5:$BB$14,49,FALSE)&lt;AC$149,10,(AC$150-VLOOKUP($B43,'Indicator Data (national)'!$B$5:$BB$14,49,FALSE))/(AC$150-AC$149)*10)))</f>
        <v>8.6440000000000001</v>
      </c>
      <c r="AD43" s="2">
        <f>IF(VLOOKUP($B43,'Indicator Data (national)'!$B$5:$BB$14,50,FALSE)="No data","x",IF(VLOOKUP($B43,'Indicator Data (national)'!$B$5:$BB$14,50,FALSE)&gt;AD$150,0,IF(VLOOKUP($B43,'Indicator Data (national)'!$B$5:$BB$14,50,FALSE)&lt;AD$149,10,(AD$150-VLOOKUP($B43,'Indicator Data (national)'!$B$5:$BB$14,50,FALSE))/(AD$150-AD$149)*10)))</f>
        <v>8.6471999999999998</v>
      </c>
      <c r="AE43" s="3">
        <f t="shared" si="13"/>
        <v>8.6456</v>
      </c>
      <c r="AF43" s="2">
        <f>IF(VLOOKUP($B43,'Indicator Data (national)'!$B$5:$BB$14,51,FALSE)="No data","x",IF(VLOOKUP($B43,'Indicator Data (national)'!$B$5:$BB$14,51,FALSE)&gt;AF$150,0,IF(VLOOKUP($B43,'Indicator Data (national)'!$B$5:$BB$14,51,FALSE)&lt;AF$149,10,(AF$150-VLOOKUP($B43,'Indicator Data (national)'!$B$5:$BB$14,51,FALSE))/(AF$150-AF$149)*10)))</f>
        <v>0</v>
      </c>
      <c r="AG43" s="2">
        <f>IF(VLOOKUP($B43,'Indicator Data (national)'!$B$5:$BB$14,52,FALSE)="No data","x",IF(VLOOKUP($B43,'Indicator Data (national)'!$B$5:$BB$14,52,FALSE)&gt;AG$150,0,IF(VLOOKUP($B43,'Indicator Data (national)'!$B$5:$BB$14,52,FALSE)&lt;AG$149,10,(AG$150-VLOOKUP($B43,'Indicator Data (national)'!$B$5:$BB$14,52,FALSE))/(AG$150-AG$149)*10)))</f>
        <v>0</v>
      </c>
      <c r="AH43" s="2">
        <f>IF(VLOOKUP($B43,'Indicator Data (national)'!$B$5:$BB$14,53,FALSE)="No data","x",IF(VLOOKUP($B43,'Indicator Data (national)'!$B$5:$BB$14,53,FALSE)&gt;AH$150,0,IF(VLOOKUP($B43,'Indicator Data (national)'!$B$5:$BB$14,53,FALSE)&lt;AH$149,10,(AH$150-VLOOKUP($B43,'Indicator Data (national)'!$B$5:$BB$14,53,FALSE))/(AH$150-AH$149)*10)))</f>
        <v>5.1780682960214941</v>
      </c>
      <c r="AI43" s="3">
        <f t="shared" si="14"/>
        <v>1.726022765340498</v>
      </c>
      <c r="AJ43" s="5">
        <f t="shared" si="17"/>
        <v>6.0310797500688045</v>
      </c>
    </row>
    <row r="44" spans="1:36" s="11" customFormat="1" x14ac:dyDescent="0.25">
      <c r="A44" s="16" t="s">
        <v>411</v>
      </c>
      <c r="B44" s="11" t="s">
        <v>576</v>
      </c>
      <c r="C44" s="126" t="s">
        <v>636</v>
      </c>
      <c r="D44" s="120">
        <f>(VLOOKUP($B44,'Indicator Data (national)'!$B$5:$AP$14,39,FALSE)+VLOOKUP($B44,'Indicator Data (national)'!$B$5:$AP$14,40,FALSE)+VLOOKUP($B44,'Indicator Data (national)'!$B$5:$AP$14,41,FALSE))/VLOOKUP($B44,'Indicator Data (national)'!$B$5:$AP$14,38,FALSE)*1000000</f>
        <v>0.3850863279901553</v>
      </c>
      <c r="E44" s="2">
        <f t="shared" si="3"/>
        <v>8.0745683600492235</v>
      </c>
      <c r="F44" s="3">
        <f t="shared" si="4"/>
        <v>8.0745683600492235</v>
      </c>
      <c r="G44" s="2">
        <f>IF(VLOOKUP($B44,'Indicator Data (national)'!$B$5:$AQ$14,30,FALSE)="No data","x",IF(VLOOKUP($B44,'Indicator Data (national)'!$B$5:$AQ$14,30,FALSE)&gt;G$150,10,IF(VLOOKUP($B44,'Indicator Data (national)'!$B$5:$AQ$14,30,FALSE)&lt;G$149,0,(G$150-VLOOKUP($B44,'Indicator Data (national)'!$B$5:$AQ$14,30,FALSE))/(G$150-G$149)*10)))</f>
        <v>7.5</v>
      </c>
      <c r="H44" s="2">
        <f>IF(VLOOKUP($B44,'Indicator Data (national)'!$B$5:$AQ$14,29,FALSE)="No data","x",IF(VLOOKUP($B44,'Indicator Data (national)'!$B$5:$AQ$14,29,FALSE)&gt;H$150,10,IF(VLOOKUP($B44,'Indicator Data (national)'!$B$5:$AQ$14,29,FALSE)&lt;H$149,0,(H$150-VLOOKUP($B44,'Indicator Data (national)'!$B$5:$AQ$14,29,FALSE))/(H$150-H$149)*10)))</f>
        <v>5.9728583693504333</v>
      </c>
      <c r="I44" s="3">
        <f t="shared" si="5"/>
        <v>6.7364291846752167</v>
      </c>
      <c r="J44" s="5">
        <f t="shared" si="6"/>
        <v>7.4054987723622201</v>
      </c>
      <c r="K44" s="2">
        <f>IF(VLOOKUP($B44,'Indicator Data (national)'!$B$5:$AQ$14,33,FALSE)="No data","x",IF(VLOOKUP($B44,'Indicator Data (national)'!$B$5:$AQ$14,33,FALSE)&gt;K$150,10,IF(VLOOKUP($B44,'Indicator Data (national)'!$B$5:$AQ$14,33,FALSE)&lt;K$149,0,(K$150-VLOOKUP($B44,'Indicator Data (national)'!$B$5:$AQ$14,33,FALSE))/(K$150-K$149)*10)))</f>
        <v>2.2000000000000002</v>
      </c>
      <c r="L44" s="2">
        <f>IF(VLOOKUP($B44,'Indicator Data (national)'!$B$5:$AQ$14,34,FALSE)="No data","x",IF(VLOOKUP($B44,'Indicator Data (national)'!$B$5:$AQ$14,34,FALSE)&gt;L$150,10,IF(VLOOKUP($B44,'Indicator Data (national)'!$B$5:$AQ$14,34,FALSE)&lt;L$149,0,(L$150-VLOOKUP($B44,'Indicator Data (national)'!$B$5:$AQ$14,34,FALSE))/(L$150-L$149)*10)))</f>
        <v>2.8235954477835907</v>
      </c>
      <c r="M44" s="3">
        <f t="shared" si="7"/>
        <v>2.5117977238917955</v>
      </c>
      <c r="N44" s="2">
        <f>IF(VLOOKUP($B44,'Indicator Data (national)'!$B$5:$AS$14,44,FALSE)="No data","x",IF(VLOOKUP($B44,'Indicator Data (national)'!$B$5:$AS$14,44,FALSE)&gt;N$150,10,IF(VLOOKUP($B44,'Indicator Data (national)'!$B$5:$AS$14,44,FALSE)&lt;N$149,0,10-(N$150-VLOOKUP($B44,'Indicator Data (national)'!$B$5:$AS$14,44,FALSE))/(N$150-N$149)*10)))</f>
        <v>3.9000000000000004</v>
      </c>
      <c r="O44" s="2">
        <f>IF(VLOOKUP($B44,'Indicator Data (national)'!$B$5:$AS$14,42,FALSE)="No data","x",IF(VLOOKUP($B44,'Indicator Data (national)'!$B$5:$AS$14,42,FALSE)&gt;O$150,0,IF(VLOOKUP($B44,'Indicator Data (national)'!$B$5:$AS$14,42,FALSE)&lt;O$149,10,(O$150-VLOOKUP($B44,'Indicator Data (national)'!$B$5:$AS$14,42,FALSE))/(O$150-O$149)*10)))</f>
        <v>9.3507578421680311</v>
      </c>
      <c r="P44" s="158">
        <f t="shared" si="8"/>
        <v>6.6253789210840157</v>
      </c>
      <c r="Q44" s="2">
        <f>IF(VLOOKUP($B44,'Indicator Data (national)'!$B$5:$Q$14,16,FALSE)="No data","x",IF(VLOOKUP($B44,'Indicator Data (national)'!$B$5:$Q$14,16,FALSE)&gt;Q$150,0,IF(VLOOKUP($B44,'Indicator Data (national)'!$B$5:$Q$14,16,FALSE)&lt;Q$149,10,(Q$150-VLOOKUP($B44,'Indicator Data (national)'!$B$5:$Q$14,16,FALSE))/(Q$150-Q$149)*10)))</f>
        <v>8.1999999999999993</v>
      </c>
      <c r="R44" s="158">
        <f t="shared" si="9"/>
        <v>8.1999999999999993</v>
      </c>
      <c r="S44" s="3">
        <f t="shared" si="15"/>
        <v>7.4126894605420075</v>
      </c>
      <c r="T44" s="2">
        <f>IF(VLOOKUP($B44,'Indicator Data (national)'!$B$5:$BC$14,43,FALSE)="No data","x",IF(VLOOKUP($B44,'Indicator Data (national)'!$B$5:$BC$14,43,FALSE)&gt;T$150,10,IF(VLOOKUP($B44,'Indicator Data (national)'!$B$5:$BC$14,43,FALSE)&lt;T$149,0,(T$150-VLOOKUP($B44,'Indicator Data (national)'!$B$5:$BC$14,43,FALSE))/(T$150-T$149)*10)))</f>
        <v>9.8647237723687979</v>
      </c>
      <c r="U44" s="3">
        <f t="shared" si="10"/>
        <v>9.8647237723687979</v>
      </c>
      <c r="V44" s="5">
        <f t="shared" si="16"/>
        <v>6.5964036522675329</v>
      </c>
      <c r="W44" s="2">
        <f>IF(VLOOKUP($B44,'Indicator Data (national)'!$B$5:$AS$14,37,FALSE)="No data","x",IF(VLOOKUP($B44,'Indicator Data (national)'!$B$5:$AS$14,37,FALSE)&gt;W$150,10,IF(VLOOKUP($B44,'Indicator Data (national)'!$B$5:$AS$14,37,FALSE)&lt;W$149,0,(LOG(W$150)-LOG(VLOOKUP($B44,'Indicator Data (national)'!$B$5:$AS$14,37,FALSE)))/(LOG(W$150)-LOG(W$149))*10)))</f>
        <v>7.6457347942026841</v>
      </c>
      <c r="X44" s="2">
        <f>IF(VLOOKUP($B44,'Indicator Data (national)'!$B$5:$BB$14,45,FALSE)="No data","x",IF(VLOOKUP($B44,'Indicator Data (national)'!$B$5:$BB$14,45,FALSE)&gt;X$150,10,IF(VLOOKUP($B44,'Indicator Data (national)'!$B$5:$BB$14,45,FALSE)&lt;X$149,0,10-(X$150-VLOOKUP($B44,'Indicator Data (national)'!$B$5:$BB$14,45,FALSE))/(X$150-X$149)*10)))</f>
        <v>6.2222222222222223</v>
      </c>
      <c r="Y44" s="2">
        <f>IF(VLOOKUP($B44,'Indicator Data (national)'!$B$5:$BB$14,46,FALSE)="No data","x",IF(VLOOKUP($B44,'Indicator Data (national)'!$B$5:$BB$14,46,FALSE)&gt;Y$150,10,IF(VLOOKUP($B44,'Indicator Data (national)'!$B$5:$BB$14,46,FALSE)&lt;Y$149,0,(Y$150-VLOOKUP($B44,'Indicator Data (national)'!$B$5:$BB$14,46,FALSE))/(Y$150-Y$149)*10)))</f>
        <v>8</v>
      </c>
      <c r="Z44" s="156">
        <f>IF(VLOOKUP($B44,'Indicator Data (national)'!$B$5:$BB$14,48,FALSE)="No data","x",VLOOKUP($B44,'Indicator Data (national)'!$B$5:$BB$14,47,FALSE)*VLOOKUP($B44,'Indicator Data (national)'!$B$5:$BB$14,48,FALSE))</f>
        <v>9.814910769612494</v>
      </c>
      <c r="AA44" s="2">
        <f t="shared" si="11"/>
        <v>9.0185089230387501</v>
      </c>
      <c r="AB44" s="3">
        <f t="shared" si="12"/>
        <v>7.7216164848659146</v>
      </c>
      <c r="AC44" s="2">
        <f>IF(VLOOKUP($B44,'Indicator Data (national)'!$B$5:$BB$14,49,FALSE)="No data","x",IF(VLOOKUP($B44,'Indicator Data (national)'!$B$5:$BB$14,49,FALSE)&gt;AC$150,0,IF(VLOOKUP($B44,'Indicator Data (national)'!$B$5:$BB$14,49,FALSE)&lt;AC$149,10,(AC$150-VLOOKUP($B44,'Indicator Data (national)'!$B$5:$BB$14,49,FALSE))/(AC$150-AC$149)*10)))</f>
        <v>8.6440000000000001</v>
      </c>
      <c r="AD44" s="2">
        <f>IF(VLOOKUP($B44,'Indicator Data (national)'!$B$5:$BB$14,50,FALSE)="No data","x",IF(VLOOKUP($B44,'Indicator Data (national)'!$B$5:$BB$14,50,FALSE)&gt;AD$150,0,IF(VLOOKUP($B44,'Indicator Data (national)'!$B$5:$BB$14,50,FALSE)&lt;AD$149,10,(AD$150-VLOOKUP($B44,'Indicator Data (national)'!$B$5:$BB$14,50,FALSE))/(AD$150-AD$149)*10)))</f>
        <v>8.6471999999999998</v>
      </c>
      <c r="AE44" s="3">
        <f t="shared" si="13"/>
        <v>8.6456</v>
      </c>
      <c r="AF44" s="2">
        <f>IF(VLOOKUP($B44,'Indicator Data (national)'!$B$5:$BB$14,51,FALSE)="No data","x",IF(VLOOKUP($B44,'Indicator Data (national)'!$B$5:$BB$14,51,FALSE)&gt;AF$150,0,IF(VLOOKUP($B44,'Indicator Data (national)'!$B$5:$BB$14,51,FALSE)&lt;AF$149,10,(AF$150-VLOOKUP($B44,'Indicator Data (national)'!$B$5:$BB$14,51,FALSE))/(AF$150-AF$149)*10)))</f>
        <v>0</v>
      </c>
      <c r="AG44" s="2">
        <f>IF(VLOOKUP($B44,'Indicator Data (national)'!$B$5:$BB$14,52,FALSE)="No data","x",IF(VLOOKUP($B44,'Indicator Data (national)'!$B$5:$BB$14,52,FALSE)&gt;AG$150,0,IF(VLOOKUP($B44,'Indicator Data (national)'!$B$5:$BB$14,52,FALSE)&lt;AG$149,10,(AG$150-VLOOKUP($B44,'Indicator Data (national)'!$B$5:$BB$14,52,FALSE))/(AG$150-AG$149)*10)))</f>
        <v>0</v>
      </c>
      <c r="AH44" s="2">
        <f>IF(VLOOKUP($B44,'Indicator Data (national)'!$B$5:$BB$14,53,FALSE)="No data","x",IF(VLOOKUP($B44,'Indicator Data (national)'!$B$5:$BB$14,53,FALSE)&gt;AH$150,0,IF(VLOOKUP($B44,'Indicator Data (national)'!$B$5:$BB$14,53,FALSE)&lt;AH$149,10,(AH$150-VLOOKUP($B44,'Indicator Data (national)'!$B$5:$BB$14,53,FALSE))/(AH$150-AH$149)*10)))</f>
        <v>5.1780682960214941</v>
      </c>
      <c r="AI44" s="3">
        <f t="shared" si="14"/>
        <v>1.726022765340498</v>
      </c>
      <c r="AJ44" s="5">
        <f t="shared" si="17"/>
        <v>6.0310797500688045</v>
      </c>
    </row>
    <row r="45" spans="1:36" s="11" customFormat="1" x14ac:dyDescent="0.25">
      <c r="A45" s="16" t="s">
        <v>412</v>
      </c>
      <c r="B45" s="11" t="s">
        <v>576</v>
      </c>
      <c r="C45" s="126" t="s">
        <v>637</v>
      </c>
      <c r="D45" s="120">
        <f>(VLOOKUP($B45,'Indicator Data (national)'!$B$5:$AP$14,39,FALSE)+VLOOKUP($B45,'Indicator Data (national)'!$B$5:$AP$14,40,FALSE)+VLOOKUP($B45,'Indicator Data (national)'!$B$5:$AP$14,41,FALSE))/VLOOKUP($B45,'Indicator Data (national)'!$B$5:$AP$14,38,FALSE)*1000000</f>
        <v>0.3850863279901553</v>
      </c>
      <c r="E45" s="2">
        <f t="shared" si="3"/>
        <v>8.0745683600492235</v>
      </c>
      <c r="F45" s="3">
        <f t="shared" si="4"/>
        <v>8.0745683600492235</v>
      </c>
      <c r="G45" s="2">
        <f>IF(VLOOKUP($B45,'Indicator Data (national)'!$B$5:$AQ$14,30,FALSE)="No data","x",IF(VLOOKUP($B45,'Indicator Data (national)'!$B$5:$AQ$14,30,FALSE)&gt;G$150,10,IF(VLOOKUP($B45,'Indicator Data (national)'!$B$5:$AQ$14,30,FALSE)&lt;G$149,0,(G$150-VLOOKUP($B45,'Indicator Data (national)'!$B$5:$AQ$14,30,FALSE))/(G$150-G$149)*10)))</f>
        <v>7.5</v>
      </c>
      <c r="H45" s="2">
        <f>IF(VLOOKUP($B45,'Indicator Data (national)'!$B$5:$AQ$14,29,FALSE)="No data","x",IF(VLOOKUP($B45,'Indicator Data (national)'!$B$5:$AQ$14,29,FALSE)&gt;H$150,10,IF(VLOOKUP($B45,'Indicator Data (national)'!$B$5:$AQ$14,29,FALSE)&lt;H$149,0,(H$150-VLOOKUP($B45,'Indicator Data (national)'!$B$5:$AQ$14,29,FALSE))/(H$150-H$149)*10)))</f>
        <v>5.9728583693504333</v>
      </c>
      <c r="I45" s="3">
        <f t="shared" si="5"/>
        <v>6.7364291846752167</v>
      </c>
      <c r="J45" s="5">
        <f t="shared" si="6"/>
        <v>7.4054987723622201</v>
      </c>
      <c r="K45" s="2">
        <f>IF(VLOOKUP($B45,'Indicator Data (national)'!$B$5:$AQ$14,33,FALSE)="No data","x",IF(VLOOKUP($B45,'Indicator Data (national)'!$B$5:$AQ$14,33,FALSE)&gt;K$150,10,IF(VLOOKUP($B45,'Indicator Data (national)'!$B$5:$AQ$14,33,FALSE)&lt;K$149,0,(K$150-VLOOKUP($B45,'Indicator Data (national)'!$B$5:$AQ$14,33,FALSE))/(K$150-K$149)*10)))</f>
        <v>2.2000000000000002</v>
      </c>
      <c r="L45" s="2">
        <f>IF(VLOOKUP($B45,'Indicator Data (national)'!$B$5:$AQ$14,34,FALSE)="No data","x",IF(VLOOKUP($B45,'Indicator Data (national)'!$B$5:$AQ$14,34,FALSE)&gt;L$150,10,IF(VLOOKUP($B45,'Indicator Data (national)'!$B$5:$AQ$14,34,FALSE)&lt;L$149,0,(L$150-VLOOKUP($B45,'Indicator Data (national)'!$B$5:$AQ$14,34,FALSE))/(L$150-L$149)*10)))</f>
        <v>2.8235954477835907</v>
      </c>
      <c r="M45" s="3">
        <f t="shared" si="7"/>
        <v>2.5117977238917955</v>
      </c>
      <c r="N45" s="2">
        <f>IF(VLOOKUP($B45,'Indicator Data (national)'!$B$5:$AS$14,44,FALSE)="No data","x",IF(VLOOKUP($B45,'Indicator Data (national)'!$B$5:$AS$14,44,FALSE)&gt;N$150,10,IF(VLOOKUP($B45,'Indicator Data (national)'!$B$5:$AS$14,44,FALSE)&lt;N$149,0,10-(N$150-VLOOKUP($B45,'Indicator Data (national)'!$B$5:$AS$14,44,FALSE))/(N$150-N$149)*10)))</f>
        <v>3.9000000000000004</v>
      </c>
      <c r="O45" s="2">
        <f>IF(VLOOKUP($B45,'Indicator Data (national)'!$B$5:$AS$14,42,FALSE)="No data","x",IF(VLOOKUP($B45,'Indicator Data (national)'!$B$5:$AS$14,42,FALSE)&gt;O$150,0,IF(VLOOKUP($B45,'Indicator Data (national)'!$B$5:$AS$14,42,FALSE)&lt;O$149,10,(O$150-VLOOKUP($B45,'Indicator Data (national)'!$B$5:$AS$14,42,FALSE))/(O$150-O$149)*10)))</f>
        <v>9.3507578421680311</v>
      </c>
      <c r="P45" s="158">
        <f t="shared" si="8"/>
        <v>6.6253789210840157</v>
      </c>
      <c r="Q45" s="2">
        <f>IF(VLOOKUP($B45,'Indicator Data (national)'!$B$5:$Q$14,16,FALSE)="No data","x",IF(VLOOKUP($B45,'Indicator Data (national)'!$B$5:$Q$14,16,FALSE)&gt;Q$150,0,IF(VLOOKUP($B45,'Indicator Data (national)'!$B$5:$Q$14,16,FALSE)&lt;Q$149,10,(Q$150-VLOOKUP($B45,'Indicator Data (national)'!$B$5:$Q$14,16,FALSE))/(Q$150-Q$149)*10)))</f>
        <v>8.1999999999999993</v>
      </c>
      <c r="R45" s="158">
        <f t="shared" si="9"/>
        <v>8.1999999999999993</v>
      </c>
      <c r="S45" s="3">
        <f t="shared" si="15"/>
        <v>7.4126894605420075</v>
      </c>
      <c r="T45" s="2">
        <f>IF(VLOOKUP($B45,'Indicator Data (national)'!$B$5:$BC$14,43,FALSE)="No data","x",IF(VLOOKUP($B45,'Indicator Data (national)'!$B$5:$BC$14,43,FALSE)&gt;T$150,10,IF(VLOOKUP($B45,'Indicator Data (national)'!$B$5:$BC$14,43,FALSE)&lt;T$149,0,(T$150-VLOOKUP($B45,'Indicator Data (national)'!$B$5:$BC$14,43,FALSE))/(T$150-T$149)*10)))</f>
        <v>9.8647237723687979</v>
      </c>
      <c r="U45" s="3">
        <f t="shared" si="10"/>
        <v>9.8647237723687979</v>
      </c>
      <c r="V45" s="5">
        <f t="shared" si="16"/>
        <v>6.5964036522675329</v>
      </c>
      <c r="W45" s="2">
        <f>IF(VLOOKUP($B45,'Indicator Data (national)'!$B$5:$AS$14,37,FALSE)="No data","x",IF(VLOOKUP($B45,'Indicator Data (national)'!$B$5:$AS$14,37,FALSE)&gt;W$150,10,IF(VLOOKUP($B45,'Indicator Data (national)'!$B$5:$AS$14,37,FALSE)&lt;W$149,0,(LOG(W$150)-LOG(VLOOKUP($B45,'Indicator Data (national)'!$B$5:$AS$14,37,FALSE)))/(LOG(W$150)-LOG(W$149))*10)))</f>
        <v>7.6457347942026841</v>
      </c>
      <c r="X45" s="2">
        <f>IF(VLOOKUP($B45,'Indicator Data (national)'!$B$5:$BB$14,45,FALSE)="No data","x",IF(VLOOKUP($B45,'Indicator Data (national)'!$B$5:$BB$14,45,FALSE)&gt;X$150,10,IF(VLOOKUP($B45,'Indicator Data (national)'!$B$5:$BB$14,45,FALSE)&lt;X$149,0,10-(X$150-VLOOKUP($B45,'Indicator Data (national)'!$B$5:$BB$14,45,FALSE))/(X$150-X$149)*10)))</f>
        <v>6.2222222222222223</v>
      </c>
      <c r="Y45" s="2">
        <f>IF(VLOOKUP($B45,'Indicator Data (national)'!$B$5:$BB$14,46,FALSE)="No data","x",IF(VLOOKUP($B45,'Indicator Data (national)'!$B$5:$BB$14,46,FALSE)&gt;Y$150,10,IF(VLOOKUP($B45,'Indicator Data (national)'!$B$5:$BB$14,46,FALSE)&lt;Y$149,0,(Y$150-VLOOKUP($B45,'Indicator Data (national)'!$B$5:$BB$14,46,FALSE))/(Y$150-Y$149)*10)))</f>
        <v>8</v>
      </c>
      <c r="Z45" s="156">
        <f>IF(VLOOKUP($B45,'Indicator Data (national)'!$B$5:$BB$14,48,FALSE)="No data","x",VLOOKUP($B45,'Indicator Data (national)'!$B$5:$BB$14,47,FALSE)*VLOOKUP($B45,'Indicator Data (national)'!$B$5:$BB$14,48,FALSE))</f>
        <v>9.814910769612494</v>
      </c>
      <c r="AA45" s="2">
        <f t="shared" si="11"/>
        <v>9.0185089230387501</v>
      </c>
      <c r="AB45" s="3">
        <f t="shared" si="12"/>
        <v>7.7216164848659146</v>
      </c>
      <c r="AC45" s="2">
        <f>IF(VLOOKUP($B45,'Indicator Data (national)'!$B$5:$BB$14,49,FALSE)="No data","x",IF(VLOOKUP($B45,'Indicator Data (national)'!$B$5:$BB$14,49,FALSE)&gt;AC$150,0,IF(VLOOKUP($B45,'Indicator Data (national)'!$B$5:$BB$14,49,FALSE)&lt;AC$149,10,(AC$150-VLOOKUP($B45,'Indicator Data (national)'!$B$5:$BB$14,49,FALSE))/(AC$150-AC$149)*10)))</f>
        <v>8.6440000000000001</v>
      </c>
      <c r="AD45" s="2">
        <f>IF(VLOOKUP($B45,'Indicator Data (national)'!$B$5:$BB$14,50,FALSE)="No data","x",IF(VLOOKUP($B45,'Indicator Data (national)'!$B$5:$BB$14,50,FALSE)&gt;AD$150,0,IF(VLOOKUP($B45,'Indicator Data (national)'!$B$5:$BB$14,50,FALSE)&lt;AD$149,10,(AD$150-VLOOKUP($B45,'Indicator Data (national)'!$B$5:$BB$14,50,FALSE))/(AD$150-AD$149)*10)))</f>
        <v>8.6471999999999998</v>
      </c>
      <c r="AE45" s="3">
        <f t="shared" si="13"/>
        <v>8.6456</v>
      </c>
      <c r="AF45" s="2">
        <f>IF(VLOOKUP($B45,'Indicator Data (national)'!$B$5:$BB$14,51,FALSE)="No data","x",IF(VLOOKUP($B45,'Indicator Data (national)'!$B$5:$BB$14,51,FALSE)&gt;AF$150,0,IF(VLOOKUP($B45,'Indicator Data (national)'!$B$5:$BB$14,51,FALSE)&lt;AF$149,10,(AF$150-VLOOKUP($B45,'Indicator Data (national)'!$B$5:$BB$14,51,FALSE))/(AF$150-AF$149)*10)))</f>
        <v>0</v>
      </c>
      <c r="AG45" s="2">
        <f>IF(VLOOKUP($B45,'Indicator Data (national)'!$B$5:$BB$14,52,FALSE)="No data","x",IF(VLOOKUP($B45,'Indicator Data (national)'!$B$5:$BB$14,52,FALSE)&gt;AG$150,0,IF(VLOOKUP($B45,'Indicator Data (national)'!$B$5:$BB$14,52,FALSE)&lt;AG$149,10,(AG$150-VLOOKUP($B45,'Indicator Data (national)'!$B$5:$BB$14,52,FALSE))/(AG$150-AG$149)*10)))</f>
        <v>0</v>
      </c>
      <c r="AH45" s="2">
        <f>IF(VLOOKUP($B45,'Indicator Data (national)'!$B$5:$BB$14,53,FALSE)="No data","x",IF(VLOOKUP($B45,'Indicator Data (national)'!$B$5:$BB$14,53,FALSE)&gt;AH$150,0,IF(VLOOKUP($B45,'Indicator Data (national)'!$B$5:$BB$14,53,FALSE)&lt;AH$149,10,(AH$150-VLOOKUP($B45,'Indicator Data (national)'!$B$5:$BB$14,53,FALSE))/(AH$150-AH$149)*10)))</f>
        <v>5.1780682960214941</v>
      </c>
      <c r="AI45" s="3">
        <f t="shared" si="14"/>
        <v>1.726022765340498</v>
      </c>
      <c r="AJ45" s="5">
        <f t="shared" si="17"/>
        <v>6.0310797500688045</v>
      </c>
    </row>
    <row r="46" spans="1:36" s="11" customFormat="1" x14ac:dyDescent="0.25">
      <c r="A46" s="16" t="s">
        <v>413</v>
      </c>
      <c r="B46" s="11" t="s">
        <v>576</v>
      </c>
      <c r="C46" s="126" t="s">
        <v>638</v>
      </c>
      <c r="D46" s="120">
        <f>(VLOOKUP($B46,'Indicator Data (national)'!$B$5:$AP$14,39,FALSE)+VLOOKUP($B46,'Indicator Data (national)'!$B$5:$AP$14,40,FALSE)+VLOOKUP($B46,'Indicator Data (national)'!$B$5:$AP$14,41,FALSE))/VLOOKUP($B46,'Indicator Data (national)'!$B$5:$AP$14,38,FALSE)*1000000</f>
        <v>0.3850863279901553</v>
      </c>
      <c r="E46" s="2">
        <f t="shared" si="3"/>
        <v>8.0745683600492235</v>
      </c>
      <c r="F46" s="3">
        <f t="shared" si="4"/>
        <v>8.0745683600492235</v>
      </c>
      <c r="G46" s="2">
        <f>IF(VLOOKUP($B46,'Indicator Data (national)'!$B$5:$AQ$14,30,FALSE)="No data","x",IF(VLOOKUP($B46,'Indicator Data (national)'!$B$5:$AQ$14,30,FALSE)&gt;G$150,10,IF(VLOOKUP($B46,'Indicator Data (national)'!$B$5:$AQ$14,30,FALSE)&lt;G$149,0,(G$150-VLOOKUP($B46,'Indicator Data (national)'!$B$5:$AQ$14,30,FALSE))/(G$150-G$149)*10)))</f>
        <v>7.5</v>
      </c>
      <c r="H46" s="2">
        <f>IF(VLOOKUP($B46,'Indicator Data (national)'!$B$5:$AQ$14,29,FALSE)="No data","x",IF(VLOOKUP($B46,'Indicator Data (national)'!$B$5:$AQ$14,29,FALSE)&gt;H$150,10,IF(VLOOKUP($B46,'Indicator Data (national)'!$B$5:$AQ$14,29,FALSE)&lt;H$149,0,(H$150-VLOOKUP($B46,'Indicator Data (national)'!$B$5:$AQ$14,29,FALSE))/(H$150-H$149)*10)))</f>
        <v>5.9728583693504333</v>
      </c>
      <c r="I46" s="3">
        <f t="shared" si="5"/>
        <v>6.7364291846752167</v>
      </c>
      <c r="J46" s="5">
        <f t="shared" si="6"/>
        <v>7.4054987723622201</v>
      </c>
      <c r="K46" s="2">
        <f>IF(VLOOKUP($B46,'Indicator Data (national)'!$B$5:$AQ$14,33,FALSE)="No data","x",IF(VLOOKUP($B46,'Indicator Data (national)'!$B$5:$AQ$14,33,FALSE)&gt;K$150,10,IF(VLOOKUP($B46,'Indicator Data (national)'!$B$5:$AQ$14,33,FALSE)&lt;K$149,0,(K$150-VLOOKUP($B46,'Indicator Data (national)'!$B$5:$AQ$14,33,FALSE))/(K$150-K$149)*10)))</f>
        <v>2.2000000000000002</v>
      </c>
      <c r="L46" s="2">
        <f>IF(VLOOKUP($B46,'Indicator Data (national)'!$B$5:$AQ$14,34,FALSE)="No data","x",IF(VLOOKUP($B46,'Indicator Data (national)'!$B$5:$AQ$14,34,FALSE)&gt;L$150,10,IF(VLOOKUP($B46,'Indicator Data (national)'!$B$5:$AQ$14,34,FALSE)&lt;L$149,0,(L$150-VLOOKUP($B46,'Indicator Data (national)'!$B$5:$AQ$14,34,FALSE))/(L$150-L$149)*10)))</f>
        <v>2.8235954477835907</v>
      </c>
      <c r="M46" s="3">
        <f t="shared" si="7"/>
        <v>2.5117977238917955</v>
      </c>
      <c r="N46" s="2">
        <f>IF(VLOOKUP($B46,'Indicator Data (national)'!$B$5:$AS$14,44,FALSE)="No data","x",IF(VLOOKUP($B46,'Indicator Data (national)'!$B$5:$AS$14,44,FALSE)&gt;N$150,10,IF(VLOOKUP($B46,'Indicator Data (national)'!$B$5:$AS$14,44,FALSE)&lt;N$149,0,10-(N$150-VLOOKUP($B46,'Indicator Data (national)'!$B$5:$AS$14,44,FALSE))/(N$150-N$149)*10)))</f>
        <v>3.9000000000000004</v>
      </c>
      <c r="O46" s="2">
        <f>IF(VLOOKUP($B46,'Indicator Data (national)'!$B$5:$AS$14,42,FALSE)="No data","x",IF(VLOOKUP($B46,'Indicator Data (national)'!$B$5:$AS$14,42,FALSE)&gt;O$150,0,IF(VLOOKUP($B46,'Indicator Data (national)'!$B$5:$AS$14,42,FALSE)&lt;O$149,10,(O$150-VLOOKUP($B46,'Indicator Data (national)'!$B$5:$AS$14,42,FALSE))/(O$150-O$149)*10)))</f>
        <v>9.3507578421680311</v>
      </c>
      <c r="P46" s="158">
        <f t="shared" si="8"/>
        <v>6.6253789210840157</v>
      </c>
      <c r="Q46" s="2">
        <f>IF(VLOOKUP($B46,'Indicator Data (national)'!$B$5:$Q$14,16,FALSE)="No data","x",IF(VLOOKUP($B46,'Indicator Data (national)'!$B$5:$Q$14,16,FALSE)&gt;Q$150,0,IF(VLOOKUP($B46,'Indicator Data (national)'!$B$5:$Q$14,16,FALSE)&lt;Q$149,10,(Q$150-VLOOKUP($B46,'Indicator Data (national)'!$B$5:$Q$14,16,FALSE))/(Q$150-Q$149)*10)))</f>
        <v>8.1999999999999993</v>
      </c>
      <c r="R46" s="158">
        <f t="shared" si="9"/>
        <v>8.1999999999999993</v>
      </c>
      <c r="S46" s="3">
        <f t="shared" si="15"/>
        <v>7.4126894605420075</v>
      </c>
      <c r="T46" s="2">
        <f>IF(VLOOKUP($B46,'Indicator Data (national)'!$B$5:$BC$14,43,FALSE)="No data","x",IF(VLOOKUP($B46,'Indicator Data (national)'!$B$5:$BC$14,43,FALSE)&gt;T$150,10,IF(VLOOKUP($B46,'Indicator Data (national)'!$B$5:$BC$14,43,FALSE)&lt;T$149,0,(T$150-VLOOKUP($B46,'Indicator Data (national)'!$B$5:$BC$14,43,FALSE))/(T$150-T$149)*10)))</f>
        <v>9.8647237723687979</v>
      </c>
      <c r="U46" s="3">
        <f t="shared" si="10"/>
        <v>9.8647237723687979</v>
      </c>
      <c r="V46" s="5">
        <f t="shared" si="16"/>
        <v>6.5964036522675329</v>
      </c>
      <c r="W46" s="2">
        <f>IF(VLOOKUP($B46,'Indicator Data (national)'!$B$5:$AS$14,37,FALSE)="No data","x",IF(VLOOKUP($B46,'Indicator Data (national)'!$B$5:$AS$14,37,FALSE)&gt;W$150,10,IF(VLOOKUP($B46,'Indicator Data (national)'!$B$5:$AS$14,37,FALSE)&lt;W$149,0,(LOG(W$150)-LOG(VLOOKUP($B46,'Indicator Data (national)'!$B$5:$AS$14,37,FALSE)))/(LOG(W$150)-LOG(W$149))*10)))</f>
        <v>7.6457347942026841</v>
      </c>
      <c r="X46" s="2">
        <f>IF(VLOOKUP($B46,'Indicator Data (national)'!$B$5:$BB$14,45,FALSE)="No data","x",IF(VLOOKUP($B46,'Indicator Data (national)'!$B$5:$BB$14,45,FALSE)&gt;X$150,10,IF(VLOOKUP($B46,'Indicator Data (national)'!$B$5:$BB$14,45,FALSE)&lt;X$149,0,10-(X$150-VLOOKUP($B46,'Indicator Data (national)'!$B$5:$BB$14,45,FALSE))/(X$150-X$149)*10)))</f>
        <v>6.2222222222222223</v>
      </c>
      <c r="Y46" s="2">
        <f>IF(VLOOKUP($B46,'Indicator Data (national)'!$B$5:$BB$14,46,FALSE)="No data","x",IF(VLOOKUP($B46,'Indicator Data (national)'!$B$5:$BB$14,46,FALSE)&gt;Y$150,10,IF(VLOOKUP($B46,'Indicator Data (national)'!$B$5:$BB$14,46,FALSE)&lt;Y$149,0,(Y$150-VLOOKUP($B46,'Indicator Data (national)'!$B$5:$BB$14,46,FALSE))/(Y$150-Y$149)*10)))</f>
        <v>8</v>
      </c>
      <c r="Z46" s="156">
        <f>IF(VLOOKUP($B46,'Indicator Data (national)'!$B$5:$BB$14,48,FALSE)="No data","x",VLOOKUP($B46,'Indicator Data (national)'!$B$5:$BB$14,47,FALSE)*VLOOKUP($B46,'Indicator Data (national)'!$B$5:$BB$14,48,FALSE))</f>
        <v>9.814910769612494</v>
      </c>
      <c r="AA46" s="2">
        <f t="shared" si="11"/>
        <v>9.0185089230387501</v>
      </c>
      <c r="AB46" s="3">
        <f t="shared" si="12"/>
        <v>7.7216164848659146</v>
      </c>
      <c r="AC46" s="2">
        <f>IF(VLOOKUP($B46,'Indicator Data (national)'!$B$5:$BB$14,49,FALSE)="No data","x",IF(VLOOKUP($B46,'Indicator Data (national)'!$B$5:$BB$14,49,FALSE)&gt;AC$150,0,IF(VLOOKUP($B46,'Indicator Data (national)'!$B$5:$BB$14,49,FALSE)&lt;AC$149,10,(AC$150-VLOOKUP($B46,'Indicator Data (national)'!$B$5:$BB$14,49,FALSE))/(AC$150-AC$149)*10)))</f>
        <v>8.6440000000000001</v>
      </c>
      <c r="AD46" s="2">
        <f>IF(VLOOKUP($B46,'Indicator Data (national)'!$B$5:$BB$14,50,FALSE)="No data","x",IF(VLOOKUP($B46,'Indicator Data (national)'!$B$5:$BB$14,50,FALSE)&gt;AD$150,0,IF(VLOOKUP($B46,'Indicator Data (national)'!$B$5:$BB$14,50,FALSE)&lt;AD$149,10,(AD$150-VLOOKUP($B46,'Indicator Data (national)'!$B$5:$BB$14,50,FALSE))/(AD$150-AD$149)*10)))</f>
        <v>8.6471999999999998</v>
      </c>
      <c r="AE46" s="3">
        <f t="shared" si="13"/>
        <v>8.6456</v>
      </c>
      <c r="AF46" s="2">
        <f>IF(VLOOKUP($B46,'Indicator Data (national)'!$B$5:$BB$14,51,FALSE)="No data","x",IF(VLOOKUP($B46,'Indicator Data (national)'!$B$5:$BB$14,51,FALSE)&gt;AF$150,0,IF(VLOOKUP($B46,'Indicator Data (national)'!$B$5:$BB$14,51,FALSE)&lt;AF$149,10,(AF$150-VLOOKUP($B46,'Indicator Data (national)'!$B$5:$BB$14,51,FALSE))/(AF$150-AF$149)*10)))</f>
        <v>0</v>
      </c>
      <c r="AG46" s="2">
        <f>IF(VLOOKUP($B46,'Indicator Data (national)'!$B$5:$BB$14,52,FALSE)="No data","x",IF(VLOOKUP($B46,'Indicator Data (national)'!$B$5:$BB$14,52,FALSE)&gt;AG$150,0,IF(VLOOKUP($B46,'Indicator Data (national)'!$B$5:$BB$14,52,FALSE)&lt;AG$149,10,(AG$150-VLOOKUP($B46,'Indicator Data (national)'!$B$5:$BB$14,52,FALSE))/(AG$150-AG$149)*10)))</f>
        <v>0</v>
      </c>
      <c r="AH46" s="2">
        <f>IF(VLOOKUP($B46,'Indicator Data (national)'!$B$5:$BB$14,53,FALSE)="No data","x",IF(VLOOKUP($B46,'Indicator Data (national)'!$B$5:$BB$14,53,FALSE)&gt;AH$150,0,IF(VLOOKUP($B46,'Indicator Data (national)'!$B$5:$BB$14,53,FALSE)&lt;AH$149,10,(AH$150-VLOOKUP($B46,'Indicator Data (national)'!$B$5:$BB$14,53,FALSE))/(AH$150-AH$149)*10)))</f>
        <v>5.1780682960214941</v>
      </c>
      <c r="AI46" s="3">
        <f t="shared" si="14"/>
        <v>1.726022765340498</v>
      </c>
      <c r="AJ46" s="5">
        <f t="shared" si="17"/>
        <v>6.0310797500688045</v>
      </c>
    </row>
    <row r="47" spans="1:36" s="11" customFormat="1" x14ac:dyDescent="0.25">
      <c r="A47" s="16" t="s">
        <v>414</v>
      </c>
      <c r="B47" s="11" t="s">
        <v>576</v>
      </c>
      <c r="C47" s="126" t="s">
        <v>639</v>
      </c>
      <c r="D47" s="120">
        <f>(VLOOKUP($B47,'Indicator Data (national)'!$B$5:$AP$14,39,FALSE)+VLOOKUP($B47,'Indicator Data (national)'!$B$5:$AP$14,40,FALSE)+VLOOKUP($B47,'Indicator Data (national)'!$B$5:$AP$14,41,FALSE))/VLOOKUP($B47,'Indicator Data (national)'!$B$5:$AP$14,38,FALSE)*1000000</f>
        <v>0.3850863279901553</v>
      </c>
      <c r="E47" s="2">
        <f t="shared" si="3"/>
        <v>8.0745683600492235</v>
      </c>
      <c r="F47" s="3">
        <f t="shared" si="4"/>
        <v>8.0745683600492235</v>
      </c>
      <c r="G47" s="2">
        <f>IF(VLOOKUP($B47,'Indicator Data (national)'!$B$5:$AQ$14,30,FALSE)="No data","x",IF(VLOOKUP($B47,'Indicator Data (national)'!$B$5:$AQ$14,30,FALSE)&gt;G$150,10,IF(VLOOKUP($B47,'Indicator Data (national)'!$B$5:$AQ$14,30,FALSE)&lt;G$149,0,(G$150-VLOOKUP($B47,'Indicator Data (national)'!$B$5:$AQ$14,30,FALSE))/(G$150-G$149)*10)))</f>
        <v>7.5</v>
      </c>
      <c r="H47" s="2">
        <f>IF(VLOOKUP($B47,'Indicator Data (national)'!$B$5:$AQ$14,29,FALSE)="No data","x",IF(VLOOKUP($B47,'Indicator Data (national)'!$B$5:$AQ$14,29,FALSE)&gt;H$150,10,IF(VLOOKUP($B47,'Indicator Data (national)'!$B$5:$AQ$14,29,FALSE)&lt;H$149,0,(H$150-VLOOKUP($B47,'Indicator Data (national)'!$B$5:$AQ$14,29,FALSE))/(H$150-H$149)*10)))</f>
        <v>5.9728583693504333</v>
      </c>
      <c r="I47" s="3">
        <f t="shared" si="5"/>
        <v>6.7364291846752167</v>
      </c>
      <c r="J47" s="5">
        <f t="shared" si="6"/>
        <v>7.4054987723622201</v>
      </c>
      <c r="K47" s="2">
        <f>IF(VLOOKUP($B47,'Indicator Data (national)'!$B$5:$AQ$14,33,FALSE)="No data","x",IF(VLOOKUP($B47,'Indicator Data (national)'!$B$5:$AQ$14,33,FALSE)&gt;K$150,10,IF(VLOOKUP($B47,'Indicator Data (national)'!$B$5:$AQ$14,33,FALSE)&lt;K$149,0,(K$150-VLOOKUP($B47,'Indicator Data (national)'!$B$5:$AQ$14,33,FALSE))/(K$150-K$149)*10)))</f>
        <v>2.2000000000000002</v>
      </c>
      <c r="L47" s="2">
        <f>IF(VLOOKUP($B47,'Indicator Data (national)'!$B$5:$AQ$14,34,FALSE)="No data","x",IF(VLOOKUP($B47,'Indicator Data (national)'!$B$5:$AQ$14,34,FALSE)&gt;L$150,10,IF(VLOOKUP($B47,'Indicator Data (national)'!$B$5:$AQ$14,34,FALSE)&lt;L$149,0,(L$150-VLOOKUP($B47,'Indicator Data (national)'!$B$5:$AQ$14,34,FALSE))/(L$150-L$149)*10)))</f>
        <v>2.8235954477835907</v>
      </c>
      <c r="M47" s="3">
        <f t="shared" si="7"/>
        <v>2.5117977238917955</v>
      </c>
      <c r="N47" s="2">
        <f>IF(VLOOKUP($B47,'Indicator Data (national)'!$B$5:$AS$14,44,FALSE)="No data","x",IF(VLOOKUP($B47,'Indicator Data (national)'!$B$5:$AS$14,44,FALSE)&gt;N$150,10,IF(VLOOKUP($B47,'Indicator Data (national)'!$B$5:$AS$14,44,FALSE)&lt;N$149,0,10-(N$150-VLOOKUP($B47,'Indicator Data (national)'!$B$5:$AS$14,44,FALSE))/(N$150-N$149)*10)))</f>
        <v>3.9000000000000004</v>
      </c>
      <c r="O47" s="2">
        <f>IF(VLOOKUP($B47,'Indicator Data (national)'!$B$5:$AS$14,42,FALSE)="No data","x",IF(VLOOKUP($B47,'Indicator Data (national)'!$B$5:$AS$14,42,FALSE)&gt;O$150,0,IF(VLOOKUP($B47,'Indicator Data (national)'!$B$5:$AS$14,42,FALSE)&lt;O$149,10,(O$150-VLOOKUP($B47,'Indicator Data (national)'!$B$5:$AS$14,42,FALSE))/(O$150-O$149)*10)))</f>
        <v>9.3507578421680311</v>
      </c>
      <c r="P47" s="158">
        <f t="shared" si="8"/>
        <v>6.6253789210840157</v>
      </c>
      <c r="Q47" s="2">
        <f>IF(VLOOKUP($B47,'Indicator Data (national)'!$B$5:$Q$14,16,FALSE)="No data","x",IF(VLOOKUP($B47,'Indicator Data (national)'!$B$5:$Q$14,16,FALSE)&gt;Q$150,0,IF(VLOOKUP($B47,'Indicator Data (national)'!$B$5:$Q$14,16,FALSE)&lt;Q$149,10,(Q$150-VLOOKUP($B47,'Indicator Data (national)'!$B$5:$Q$14,16,FALSE))/(Q$150-Q$149)*10)))</f>
        <v>8.1999999999999993</v>
      </c>
      <c r="R47" s="158">
        <f t="shared" si="9"/>
        <v>8.1999999999999993</v>
      </c>
      <c r="S47" s="3">
        <f t="shared" si="15"/>
        <v>7.4126894605420075</v>
      </c>
      <c r="T47" s="2">
        <f>IF(VLOOKUP($B47,'Indicator Data (national)'!$B$5:$BC$14,43,FALSE)="No data","x",IF(VLOOKUP($B47,'Indicator Data (national)'!$B$5:$BC$14,43,FALSE)&gt;T$150,10,IF(VLOOKUP($B47,'Indicator Data (national)'!$B$5:$BC$14,43,FALSE)&lt;T$149,0,(T$150-VLOOKUP($B47,'Indicator Data (national)'!$B$5:$BC$14,43,FALSE))/(T$150-T$149)*10)))</f>
        <v>9.8647237723687979</v>
      </c>
      <c r="U47" s="3">
        <f t="shared" si="10"/>
        <v>9.8647237723687979</v>
      </c>
      <c r="V47" s="5">
        <f t="shared" si="16"/>
        <v>6.5964036522675329</v>
      </c>
      <c r="W47" s="2">
        <f>IF(VLOOKUP($B47,'Indicator Data (national)'!$B$5:$AS$14,37,FALSE)="No data","x",IF(VLOOKUP($B47,'Indicator Data (national)'!$B$5:$AS$14,37,FALSE)&gt;W$150,10,IF(VLOOKUP($B47,'Indicator Data (national)'!$B$5:$AS$14,37,FALSE)&lt;W$149,0,(LOG(W$150)-LOG(VLOOKUP($B47,'Indicator Data (national)'!$B$5:$AS$14,37,FALSE)))/(LOG(W$150)-LOG(W$149))*10)))</f>
        <v>7.6457347942026841</v>
      </c>
      <c r="X47" s="2">
        <f>IF(VLOOKUP($B47,'Indicator Data (national)'!$B$5:$BB$14,45,FALSE)="No data","x",IF(VLOOKUP($B47,'Indicator Data (national)'!$B$5:$BB$14,45,FALSE)&gt;X$150,10,IF(VLOOKUP($B47,'Indicator Data (national)'!$B$5:$BB$14,45,FALSE)&lt;X$149,0,10-(X$150-VLOOKUP($B47,'Indicator Data (national)'!$B$5:$BB$14,45,FALSE))/(X$150-X$149)*10)))</f>
        <v>6.2222222222222223</v>
      </c>
      <c r="Y47" s="2">
        <f>IF(VLOOKUP($B47,'Indicator Data (national)'!$B$5:$BB$14,46,FALSE)="No data","x",IF(VLOOKUP($B47,'Indicator Data (national)'!$B$5:$BB$14,46,FALSE)&gt;Y$150,10,IF(VLOOKUP($B47,'Indicator Data (national)'!$B$5:$BB$14,46,FALSE)&lt;Y$149,0,(Y$150-VLOOKUP($B47,'Indicator Data (national)'!$B$5:$BB$14,46,FALSE))/(Y$150-Y$149)*10)))</f>
        <v>8</v>
      </c>
      <c r="Z47" s="156">
        <f>IF(VLOOKUP($B47,'Indicator Data (national)'!$B$5:$BB$14,48,FALSE)="No data","x",VLOOKUP($B47,'Indicator Data (national)'!$B$5:$BB$14,47,FALSE)*VLOOKUP($B47,'Indicator Data (national)'!$B$5:$BB$14,48,FALSE))</f>
        <v>9.814910769612494</v>
      </c>
      <c r="AA47" s="2">
        <f t="shared" si="11"/>
        <v>9.0185089230387501</v>
      </c>
      <c r="AB47" s="3">
        <f t="shared" si="12"/>
        <v>7.7216164848659146</v>
      </c>
      <c r="AC47" s="2">
        <f>IF(VLOOKUP($B47,'Indicator Data (national)'!$B$5:$BB$14,49,FALSE)="No data","x",IF(VLOOKUP($B47,'Indicator Data (national)'!$B$5:$BB$14,49,FALSE)&gt;AC$150,0,IF(VLOOKUP($B47,'Indicator Data (national)'!$B$5:$BB$14,49,FALSE)&lt;AC$149,10,(AC$150-VLOOKUP($B47,'Indicator Data (national)'!$B$5:$BB$14,49,FALSE))/(AC$150-AC$149)*10)))</f>
        <v>8.6440000000000001</v>
      </c>
      <c r="AD47" s="2">
        <f>IF(VLOOKUP($B47,'Indicator Data (national)'!$B$5:$BB$14,50,FALSE)="No data","x",IF(VLOOKUP($B47,'Indicator Data (national)'!$B$5:$BB$14,50,FALSE)&gt;AD$150,0,IF(VLOOKUP($B47,'Indicator Data (national)'!$B$5:$BB$14,50,FALSE)&lt;AD$149,10,(AD$150-VLOOKUP($B47,'Indicator Data (national)'!$B$5:$BB$14,50,FALSE))/(AD$150-AD$149)*10)))</f>
        <v>8.6471999999999998</v>
      </c>
      <c r="AE47" s="3">
        <f t="shared" si="13"/>
        <v>8.6456</v>
      </c>
      <c r="AF47" s="2">
        <f>IF(VLOOKUP($B47,'Indicator Data (national)'!$B$5:$BB$14,51,FALSE)="No data","x",IF(VLOOKUP($B47,'Indicator Data (national)'!$B$5:$BB$14,51,FALSE)&gt;AF$150,0,IF(VLOOKUP($B47,'Indicator Data (national)'!$B$5:$BB$14,51,FALSE)&lt;AF$149,10,(AF$150-VLOOKUP($B47,'Indicator Data (national)'!$B$5:$BB$14,51,FALSE))/(AF$150-AF$149)*10)))</f>
        <v>0</v>
      </c>
      <c r="AG47" s="2">
        <f>IF(VLOOKUP($B47,'Indicator Data (national)'!$B$5:$BB$14,52,FALSE)="No data","x",IF(VLOOKUP($B47,'Indicator Data (national)'!$B$5:$BB$14,52,FALSE)&gt;AG$150,0,IF(VLOOKUP($B47,'Indicator Data (national)'!$B$5:$BB$14,52,FALSE)&lt;AG$149,10,(AG$150-VLOOKUP($B47,'Indicator Data (national)'!$B$5:$BB$14,52,FALSE))/(AG$150-AG$149)*10)))</f>
        <v>0</v>
      </c>
      <c r="AH47" s="2">
        <f>IF(VLOOKUP($B47,'Indicator Data (national)'!$B$5:$BB$14,53,FALSE)="No data","x",IF(VLOOKUP($B47,'Indicator Data (national)'!$B$5:$BB$14,53,FALSE)&gt;AH$150,0,IF(VLOOKUP($B47,'Indicator Data (national)'!$B$5:$BB$14,53,FALSE)&lt;AH$149,10,(AH$150-VLOOKUP($B47,'Indicator Data (national)'!$B$5:$BB$14,53,FALSE))/(AH$150-AH$149)*10)))</f>
        <v>5.1780682960214941</v>
      </c>
      <c r="AI47" s="3">
        <f t="shared" si="14"/>
        <v>1.726022765340498</v>
      </c>
      <c r="AJ47" s="5">
        <f t="shared" si="17"/>
        <v>6.0310797500688045</v>
      </c>
    </row>
    <row r="48" spans="1:36" s="11" customFormat="1" x14ac:dyDescent="0.25">
      <c r="A48" s="16" t="s">
        <v>415</v>
      </c>
      <c r="B48" s="11" t="s">
        <v>576</v>
      </c>
      <c r="C48" s="126" t="s">
        <v>640</v>
      </c>
      <c r="D48" s="120">
        <f>(VLOOKUP($B48,'Indicator Data (national)'!$B$5:$AP$14,39,FALSE)+VLOOKUP($B48,'Indicator Data (national)'!$B$5:$AP$14,40,FALSE)+VLOOKUP($B48,'Indicator Data (national)'!$B$5:$AP$14,41,FALSE))/VLOOKUP($B48,'Indicator Data (national)'!$B$5:$AP$14,38,FALSE)*1000000</f>
        <v>0.3850863279901553</v>
      </c>
      <c r="E48" s="2">
        <f t="shared" si="3"/>
        <v>8.0745683600492235</v>
      </c>
      <c r="F48" s="3">
        <f t="shared" si="4"/>
        <v>8.0745683600492235</v>
      </c>
      <c r="G48" s="2">
        <f>IF(VLOOKUP($B48,'Indicator Data (national)'!$B$5:$AQ$14,30,FALSE)="No data","x",IF(VLOOKUP($B48,'Indicator Data (national)'!$B$5:$AQ$14,30,FALSE)&gt;G$150,10,IF(VLOOKUP($B48,'Indicator Data (national)'!$B$5:$AQ$14,30,FALSE)&lt;G$149,0,(G$150-VLOOKUP($B48,'Indicator Data (national)'!$B$5:$AQ$14,30,FALSE))/(G$150-G$149)*10)))</f>
        <v>7.5</v>
      </c>
      <c r="H48" s="2">
        <f>IF(VLOOKUP($B48,'Indicator Data (national)'!$B$5:$AQ$14,29,FALSE)="No data","x",IF(VLOOKUP($B48,'Indicator Data (national)'!$B$5:$AQ$14,29,FALSE)&gt;H$150,10,IF(VLOOKUP($B48,'Indicator Data (national)'!$B$5:$AQ$14,29,FALSE)&lt;H$149,0,(H$150-VLOOKUP($B48,'Indicator Data (national)'!$B$5:$AQ$14,29,FALSE))/(H$150-H$149)*10)))</f>
        <v>5.9728583693504333</v>
      </c>
      <c r="I48" s="3">
        <f t="shared" si="5"/>
        <v>6.7364291846752167</v>
      </c>
      <c r="J48" s="5">
        <f t="shared" si="6"/>
        <v>7.4054987723622201</v>
      </c>
      <c r="K48" s="2">
        <f>IF(VLOOKUP($B48,'Indicator Data (national)'!$B$5:$AQ$14,33,FALSE)="No data","x",IF(VLOOKUP($B48,'Indicator Data (national)'!$B$5:$AQ$14,33,FALSE)&gt;K$150,10,IF(VLOOKUP($B48,'Indicator Data (national)'!$B$5:$AQ$14,33,FALSE)&lt;K$149,0,(K$150-VLOOKUP($B48,'Indicator Data (national)'!$B$5:$AQ$14,33,FALSE))/(K$150-K$149)*10)))</f>
        <v>2.2000000000000002</v>
      </c>
      <c r="L48" s="2">
        <f>IF(VLOOKUP($B48,'Indicator Data (national)'!$B$5:$AQ$14,34,FALSE)="No data","x",IF(VLOOKUP($B48,'Indicator Data (national)'!$B$5:$AQ$14,34,FALSE)&gt;L$150,10,IF(VLOOKUP($B48,'Indicator Data (national)'!$B$5:$AQ$14,34,FALSE)&lt;L$149,0,(L$150-VLOOKUP($B48,'Indicator Data (national)'!$B$5:$AQ$14,34,FALSE))/(L$150-L$149)*10)))</f>
        <v>2.8235954477835907</v>
      </c>
      <c r="M48" s="3">
        <f t="shared" si="7"/>
        <v>2.5117977238917955</v>
      </c>
      <c r="N48" s="2">
        <f>IF(VLOOKUP($B48,'Indicator Data (national)'!$B$5:$AS$14,44,FALSE)="No data","x",IF(VLOOKUP($B48,'Indicator Data (national)'!$B$5:$AS$14,44,FALSE)&gt;N$150,10,IF(VLOOKUP($B48,'Indicator Data (national)'!$B$5:$AS$14,44,FALSE)&lt;N$149,0,10-(N$150-VLOOKUP($B48,'Indicator Data (national)'!$B$5:$AS$14,44,FALSE))/(N$150-N$149)*10)))</f>
        <v>3.9000000000000004</v>
      </c>
      <c r="O48" s="2">
        <f>IF(VLOOKUP($B48,'Indicator Data (national)'!$B$5:$AS$14,42,FALSE)="No data","x",IF(VLOOKUP($B48,'Indicator Data (national)'!$B$5:$AS$14,42,FALSE)&gt;O$150,0,IF(VLOOKUP($B48,'Indicator Data (national)'!$B$5:$AS$14,42,FALSE)&lt;O$149,10,(O$150-VLOOKUP($B48,'Indicator Data (national)'!$B$5:$AS$14,42,FALSE))/(O$150-O$149)*10)))</f>
        <v>9.3507578421680311</v>
      </c>
      <c r="P48" s="158">
        <f t="shared" si="8"/>
        <v>6.6253789210840157</v>
      </c>
      <c r="Q48" s="2">
        <f>IF(VLOOKUP($B48,'Indicator Data (national)'!$B$5:$Q$14,16,FALSE)="No data","x",IF(VLOOKUP($B48,'Indicator Data (national)'!$B$5:$Q$14,16,FALSE)&gt;Q$150,0,IF(VLOOKUP($B48,'Indicator Data (national)'!$B$5:$Q$14,16,FALSE)&lt;Q$149,10,(Q$150-VLOOKUP($B48,'Indicator Data (national)'!$B$5:$Q$14,16,FALSE))/(Q$150-Q$149)*10)))</f>
        <v>8.1999999999999993</v>
      </c>
      <c r="R48" s="158">
        <f t="shared" si="9"/>
        <v>8.1999999999999993</v>
      </c>
      <c r="S48" s="3">
        <f t="shared" si="15"/>
        <v>7.4126894605420075</v>
      </c>
      <c r="T48" s="2">
        <f>IF(VLOOKUP($B48,'Indicator Data (national)'!$B$5:$BC$14,43,FALSE)="No data","x",IF(VLOOKUP($B48,'Indicator Data (national)'!$B$5:$BC$14,43,FALSE)&gt;T$150,10,IF(VLOOKUP($B48,'Indicator Data (national)'!$B$5:$BC$14,43,FALSE)&lt;T$149,0,(T$150-VLOOKUP($B48,'Indicator Data (national)'!$B$5:$BC$14,43,FALSE))/(T$150-T$149)*10)))</f>
        <v>9.8647237723687979</v>
      </c>
      <c r="U48" s="3">
        <f t="shared" si="10"/>
        <v>9.8647237723687979</v>
      </c>
      <c r="V48" s="5">
        <f t="shared" si="16"/>
        <v>6.5964036522675329</v>
      </c>
      <c r="W48" s="2">
        <f>IF(VLOOKUP($B48,'Indicator Data (national)'!$B$5:$AS$14,37,FALSE)="No data","x",IF(VLOOKUP($B48,'Indicator Data (national)'!$B$5:$AS$14,37,FALSE)&gt;W$150,10,IF(VLOOKUP($B48,'Indicator Data (national)'!$B$5:$AS$14,37,FALSE)&lt;W$149,0,(LOG(W$150)-LOG(VLOOKUP($B48,'Indicator Data (national)'!$B$5:$AS$14,37,FALSE)))/(LOG(W$150)-LOG(W$149))*10)))</f>
        <v>7.6457347942026841</v>
      </c>
      <c r="X48" s="2">
        <f>IF(VLOOKUP($B48,'Indicator Data (national)'!$B$5:$BB$14,45,FALSE)="No data","x",IF(VLOOKUP($B48,'Indicator Data (national)'!$B$5:$BB$14,45,FALSE)&gt;X$150,10,IF(VLOOKUP($B48,'Indicator Data (national)'!$B$5:$BB$14,45,FALSE)&lt;X$149,0,10-(X$150-VLOOKUP($B48,'Indicator Data (national)'!$B$5:$BB$14,45,FALSE))/(X$150-X$149)*10)))</f>
        <v>6.2222222222222223</v>
      </c>
      <c r="Y48" s="2">
        <f>IF(VLOOKUP($B48,'Indicator Data (national)'!$B$5:$BB$14,46,FALSE)="No data","x",IF(VLOOKUP($B48,'Indicator Data (national)'!$B$5:$BB$14,46,FALSE)&gt;Y$150,10,IF(VLOOKUP($B48,'Indicator Data (national)'!$B$5:$BB$14,46,FALSE)&lt;Y$149,0,(Y$150-VLOOKUP($B48,'Indicator Data (national)'!$B$5:$BB$14,46,FALSE))/(Y$150-Y$149)*10)))</f>
        <v>8</v>
      </c>
      <c r="Z48" s="156">
        <f>IF(VLOOKUP($B48,'Indicator Data (national)'!$B$5:$BB$14,48,FALSE)="No data","x",VLOOKUP($B48,'Indicator Data (national)'!$B$5:$BB$14,47,FALSE)*VLOOKUP($B48,'Indicator Data (national)'!$B$5:$BB$14,48,FALSE))</f>
        <v>9.814910769612494</v>
      </c>
      <c r="AA48" s="2">
        <f t="shared" si="11"/>
        <v>9.0185089230387501</v>
      </c>
      <c r="AB48" s="3">
        <f t="shared" si="12"/>
        <v>7.7216164848659146</v>
      </c>
      <c r="AC48" s="2">
        <f>IF(VLOOKUP($B48,'Indicator Data (national)'!$B$5:$BB$14,49,FALSE)="No data","x",IF(VLOOKUP($B48,'Indicator Data (national)'!$B$5:$BB$14,49,FALSE)&gt;AC$150,0,IF(VLOOKUP($B48,'Indicator Data (national)'!$B$5:$BB$14,49,FALSE)&lt;AC$149,10,(AC$150-VLOOKUP($B48,'Indicator Data (national)'!$B$5:$BB$14,49,FALSE))/(AC$150-AC$149)*10)))</f>
        <v>8.6440000000000001</v>
      </c>
      <c r="AD48" s="2">
        <f>IF(VLOOKUP($B48,'Indicator Data (national)'!$B$5:$BB$14,50,FALSE)="No data","x",IF(VLOOKUP($B48,'Indicator Data (national)'!$B$5:$BB$14,50,FALSE)&gt;AD$150,0,IF(VLOOKUP($B48,'Indicator Data (national)'!$B$5:$BB$14,50,FALSE)&lt;AD$149,10,(AD$150-VLOOKUP($B48,'Indicator Data (national)'!$B$5:$BB$14,50,FALSE))/(AD$150-AD$149)*10)))</f>
        <v>8.6471999999999998</v>
      </c>
      <c r="AE48" s="3">
        <f t="shared" si="13"/>
        <v>8.6456</v>
      </c>
      <c r="AF48" s="2">
        <f>IF(VLOOKUP($B48,'Indicator Data (national)'!$B$5:$BB$14,51,FALSE)="No data","x",IF(VLOOKUP($B48,'Indicator Data (national)'!$B$5:$BB$14,51,FALSE)&gt;AF$150,0,IF(VLOOKUP($B48,'Indicator Data (national)'!$B$5:$BB$14,51,FALSE)&lt;AF$149,10,(AF$150-VLOOKUP($B48,'Indicator Data (national)'!$B$5:$BB$14,51,FALSE))/(AF$150-AF$149)*10)))</f>
        <v>0</v>
      </c>
      <c r="AG48" s="2">
        <f>IF(VLOOKUP($B48,'Indicator Data (national)'!$B$5:$BB$14,52,FALSE)="No data","x",IF(VLOOKUP($B48,'Indicator Data (national)'!$B$5:$BB$14,52,FALSE)&gt;AG$150,0,IF(VLOOKUP($B48,'Indicator Data (national)'!$B$5:$BB$14,52,FALSE)&lt;AG$149,10,(AG$150-VLOOKUP($B48,'Indicator Data (national)'!$B$5:$BB$14,52,FALSE))/(AG$150-AG$149)*10)))</f>
        <v>0</v>
      </c>
      <c r="AH48" s="2">
        <f>IF(VLOOKUP($B48,'Indicator Data (national)'!$B$5:$BB$14,53,FALSE)="No data","x",IF(VLOOKUP($B48,'Indicator Data (national)'!$B$5:$BB$14,53,FALSE)&gt;AH$150,0,IF(VLOOKUP($B48,'Indicator Data (national)'!$B$5:$BB$14,53,FALSE)&lt;AH$149,10,(AH$150-VLOOKUP($B48,'Indicator Data (national)'!$B$5:$BB$14,53,FALSE))/(AH$150-AH$149)*10)))</f>
        <v>5.1780682960214941</v>
      </c>
      <c r="AI48" s="3">
        <f t="shared" si="14"/>
        <v>1.726022765340498</v>
      </c>
      <c r="AJ48" s="5">
        <f t="shared" si="17"/>
        <v>6.0310797500688045</v>
      </c>
    </row>
    <row r="49" spans="1:36" s="11" customFormat="1" x14ac:dyDescent="0.25">
      <c r="A49" s="16" t="s">
        <v>416</v>
      </c>
      <c r="B49" s="11" t="s">
        <v>576</v>
      </c>
      <c r="C49" s="126" t="s">
        <v>641</v>
      </c>
      <c r="D49" s="120">
        <f>(VLOOKUP($B49,'Indicator Data (national)'!$B$5:$AP$14,39,FALSE)+VLOOKUP($B49,'Indicator Data (national)'!$B$5:$AP$14,40,FALSE)+VLOOKUP($B49,'Indicator Data (national)'!$B$5:$AP$14,41,FALSE))/VLOOKUP($B49,'Indicator Data (national)'!$B$5:$AP$14,38,FALSE)*1000000</f>
        <v>0.3850863279901553</v>
      </c>
      <c r="E49" s="2">
        <f t="shared" si="3"/>
        <v>8.0745683600492235</v>
      </c>
      <c r="F49" s="3">
        <f t="shared" si="4"/>
        <v>8.0745683600492235</v>
      </c>
      <c r="G49" s="2">
        <f>IF(VLOOKUP($B49,'Indicator Data (national)'!$B$5:$AQ$14,30,FALSE)="No data","x",IF(VLOOKUP($B49,'Indicator Data (national)'!$B$5:$AQ$14,30,FALSE)&gt;G$150,10,IF(VLOOKUP($B49,'Indicator Data (national)'!$B$5:$AQ$14,30,FALSE)&lt;G$149,0,(G$150-VLOOKUP($B49,'Indicator Data (national)'!$B$5:$AQ$14,30,FALSE))/(G$150-G$149)*10)))</f>
        <v>7.5</v>
      </c>
      <c r="H49" s="2">
        <f>IF(VLOOKUP($B49,'Indicator Data (national)'!$B$5:$AQ$14,29,FALSE)="No data","x",IF(VLOOKUP($B49,'Indicator Data (national)'!$B$5:$AQ$14,29,FALSE)&gt;H$150,10,IF(VLOOKUP($B49,'Indicator Data (national)'!$B$5:$AQ$14,29,FALSE)&lt;H$149,0,(H$150-VLOOKUP($B49,'Indicator Data (national)'!$B$5:$AQ$14,29,FALSE))/(H$150-H$149)*10)))</f>
        <v>5.9728583693504333</v>
      </c>
      <c r="I49" s="3">
        <f t="shared" si="5"/>
        <v>6.7364291846752167</v>
      </c>
      <c r="J49" s="5">
        <f t="shared" si="6"/>
        <v>7.4054987723622201</v>
      </c>
      <c r="K49" s="2">
        <f>IF(VLOOKUP($B49,'Indicator Data (national)'!$B$5:$AQ$14,33,FALSE)="No data","x",IF(VLOOKUP($B49,'Indicator Data (national)'!$B$5:$AQ$14,33,FALSE)&gt;K$150,10,IF(VLOOKUP($B49,'Indicator Data (national)'!$B$5:$AQ$14,33,FALSE)&lt;K$149,0,(K$150-VLOOKUP($B49,'Indicator Data (national)'!$B$5:$AQ$14,33,FALSE))/(K$150-K$149)*10)))</f>
        <v>2.2000000000000002</v>
      </c>
      <c r="L49" s="2">
        <f>IF(VLOOKUP($B49,'Indicator Data (national)'!$B$5:$AQ$14,34,FALSE)="No data","x",IF(VLOOKUP($B49,'Indicator Data (national)'!$B$5:$AQ$14,34,FALSE)&gt;L$150,10,IF(VLOOKUP($B49,'Indicator Data (national)'!$B$5:$AQ$14,34,FALSE)&lt;L$149,0,(L$150-VLOOKUP($B49,'Indicator Data (national)'!$B$5:$AQ$14,34,FALSE))/(L$150-L$149)*10)))</f>
        <v>2.8235954477835907</v>
      </c>
      <c r="M49" s="3">
        <f t="shared" si="7"/>
        <v>2.5117977238917955</v>
      </c>
      <c r="N49" s="2">
        <f>IF(VLOOKUP($B49,'Indicator Data (national)'!$B$5:$AS$14,44,FALSE)="No data","x",IF(VLOOKUP($B49,'Indicator Data (national)'!$B$5:$AS$14,44,FALSE)&gt;N$150,10,IF(VLOOKUP($B49,'Indicator Data (national)'!$B$5:$AS$14,44,FALSE)&lt;N$149,0,10-(N$150-VLOOKUP($B49,'Indicator Data (national)'!$B$5:$AS$14,44,FALSE))/(N$150-N$149)*10)))</f>
        <v>3.9000000000000004</v>
      </c>
      <c r="O49" s="2">
        <f>IF(VLOOKUP($B49,'Indicator Data (national)'!$B$5:$AS$14,42,FALSE)="No data","x",IF(VLOOKUP($B49,'Indicator Data (national)'!$B$5:$AS$14,42,FALSE)&gt;O$150,0,IF(VLOOKUP($B49,'Indicator Data (national)'!$B$5:$AS$14,42,FALSE)&lt;O$149,10,(O$150-VLOOKUP($B49,'Indicator Data (national)'!$B$5:$AS$14,42,FALSE))/(O$150-O$149)*10)))</f>
        <v>9.3507578421680311</v>
      </c>
      <c r="P49" s="158">
        <f t="shared" si="8"/>
        <v>6.6253789210840157</v>
      </c>
      <c r="Q49" s="2">
        <f>IF(VLOOKUP($B49,'Indicator Data (national)'!$B$5:$Q$14,16,FALSE)="No data","x",IF(VLOOKUP($B49,'Indicator Data (national)'!$B$5:$Q$14,16,FALSE)&gt;Q$150,0,IF(VLOOKUP($B49,'Indicator Data (national)'!$B$5:$Q$14,16,FALSE)&lt;Q$149,10,(Q$150-VLOOKUP($B49,'Indicator Data (national)'!$B$5:$Q$14,16,FALSE))/(Q$150-Q$149)*10)))</f>
        <v>8.1999999999999993</v>
      </c>
      <c r="R49" s="158">
        <f t="shared" si="9"/>
        <v>8.1999999999999993</v>
      </c>
      <c r="S49" s="3">
        <f t="shared" si="15"/>
        <v>7.4126894605420075</v>
      </c>
      <c r="T49" s="2">
        <f>IF(VLOOKUP($B49,'Indicator Data (national)'!$B$5:$BC$14,43,FALSE)="No data","x",IF(VLOOKUP($B49,'Indicator Data (national)'!$B$5:$BC$14,43,FALSE)&gt;T$150,10,IF(VLOOKUP($B49,'Indicator Data (national)'!$B$5:$BC$14,43,FALSE)&lt;T$149,0,(T$150-VLOOKUP($B49,'Indicator Data (national)'!$B$5:$BC$14,43,FALSE))/(T$150-T$149)*10)))</f>
        <v>9.8647237723687979</v>
      </c>
      <c r="U49" s="3">
        <f t="shared" si="10"/>
        <v>9.8647237723687979</v>
      </c>
      <c r="V49" s="5">
        <f t="shared" si="16"/>
        <v>6.5964036522675329</v>
      </c>
      <c r="W49" s="2">
        <f>IF(VLOOKUP($B49,'Indicator Data (national)'!$B$5:$AS$14,37,FALSE)="No data","x",IF(VLOOKUP($B49,'Indicator Data (national)'!$B$5:$AS$14,37,FALSE)&gt;W$150,10,IF(VLOOKUP($B49,'Indicator Data (national)'!$B$5:$AS$14,37,FALSE)&lt;W$149,0,(LOG(W$150)-LOG(VLOOKUP($B49,'Indicator Data (national)'!$B$5:$AS$14,37,FALSE)))/(LOG(W$150)-LOG(W$149))*10)))</f>
        <v>7.6457347942026841</v>
      </c>
      <c r="X49" s="2">
        <f>IF(VLOOKUP($B49,'Indicator Data (national)'!$B$5:$BB$14,45,FALSE)="No data","x",IF(VLOOKUP($B49,'Indicator Data (national)'!$B$5:$BB$14,45,FALSE)&gt;X$150,10,IF(VLOOKUP($B49,'Indicator Data (national)'!$B$5:$BB$14,45,FALSE)&lt;X$149,0,10-(X$150-VLOOKUP($B49,'Indicator Data (national)'!$B$5:$BB$14,45,FALSE))/(X$150-X$149)*10)))</f>
        <v>6.2222222222222223</v>
      </c>
      <c r="Y49" s="2">
        <f>IF(VLOOKUP($B49,'Indicator Data (national)'!$B$5:$BB$14,46,FALSE)="No data","x",IF(VLOOKUP($B49,'Indicator Data (national)'!$B$5:$BB$14,46,FALSE)&gt;Y$150,10,IF(VLOOKUP($B49,'Indicator Data (national)'!$B$5:$BB$14,46,FALSE)&lt;Y$149,0,(Y$150-VLOOKUP($B49,'Indicator Data (national)'!$B$5:$BB$14,46,FALSE))/(Y$150-Y$149)*10)))</f>
        <v>8</v>
      </c>
      <c r="Z49" s="156">
        <f>IF(VLOOKUP($B49,'Indicator Data (national)'!$B$5:$BB$14,48,FALSE)="No data","x",VLOOKUP($B49,'Indicator Data (national)'!$B$5:$BB$14,47,FALSE)*VLOOKUP($B49,'Indicator Data (national)'!$B$5:$BB$14,48,FALSE))</f>
        <v>9.814910769612494</v>
      </c>
      <c r="AA49" s="2">
        <f t="shared" si="11"/>
        <v>9.0185089230387501</v>
      </c>
      <c r="AB49" s="3">
        <f t="shared" si="12"/>
        <v>7.7216164848659146</v>
      </c>
      <c r="AC49" s="2">
        <f>IF(VLOOKUP($B49,'Indicator Data (national)'!$B$5:$BB$14,49,FALSE)="No data","x",IF(VLOOKUP($B49,'Indicator Data (national)'!$B$5:$BB$14,49,FALSE)&gt;AC$150,0,IF(VLOOKUP($B49,'Indicator Data (national)'!$B$5:$BB$14,49,FALSE)&lt;AC$149,10,(AC$150-VLOOKUP($B49,'Indicator Data (national)'!$B$5:$BB$14,49,FALSE))/(AC$150-AC$149)*10)))</f>
        <v>8.6440000000000001</v>
      </c>
      <c r="AD49" s="2">
        <f>IF(VLOOKUP($B49,'Indicator Data (national)'!$B$5:$BB$14,50,FALSE)="No data","x",IF(VLOOKUP($B49,'Indicator Data (national)'!$B$5:$BB$14,50,FALSE)&gt;AD$150,0,IF(VLOOKUP($B49,'Indicator Data (national)'!$B$5:$BB$14,50,FALSE)&lt;AD$149,10,(AD$150-VLOOKUP($B49,'Indicator Data (national)'!$B$5:$BB$14,50,FALSE))/(AD$150-AD$149)*10)))</f>
        <v>8.6471999999999998</v>
      </c>
      <c r="AE49" s="3">
        <f t="shared" si="13"/>
        <v>8.6456</v>
      </c>
      <c r="AF49" s="2">
        <f>IF(VLOOKUP($B49,'Indicator Data (national)'!$B$5:$BB$14,51,FALSE)="No data","x",IF(VLOOKUP($B49,'Indicator Data (national)'!$B$5:$BB$14,51,FALSE)&gt;AF$150,0,IF(VLOOKUP($B49,'Indicator Data (national)'!$B$5:$BB$14,51,FALSE)&lt;AF$149,10,(AF$150-VLOOKUP($B49,'Indicator Data (national)'!$B$5:$BB$14,51,FALSE))/(AF$150-AF$149)*10)))</f>
        <v>0</v>
      </c>
      <c r="AG49" s="2">
        <f>IF(VLOOKUP($B49,'Indicator Data (national)'!$B$5:$BB$14,52,FALSE)="No data","x",IF(VLOOKUP($B49,'Indicator Data (national)'!$B$5:$BB$14,52,FALSE)&gt;AG$150,0,IF(VLOOKUP($B49,'Indicator Data (national)'!$B$5:$BB$14,52,FALSE)&lt;AG$149,10,(AG$150-VLOOKUP($B49,'Indicator Data (national)'!$B$5:$BB$14,52,FALSE))/(AG$150-AG$149)*10)))</f>
        <v>0</v>
      </c>
      <c r="AH49" s="2">
        <f>IF(VLOOKUP($B49,'Indicator Data (national)'!$B$5:$BB$14,53,FALSE)="No data","x",IF(VLOOKUP($B49,'Indicator Data (national)'!$B$5:$BB$14,53,FALSE)&gt;AH$150,0,IF(VLOOKUP($B49,'Indicator Data (national)'!$B$5:$BB$14,53,FALSE)&lt;AH$149,10,(AH$150-VLOOKUP($B49,'Indicator Data (national)'!$B$5:$BB$14,53,FALSE))/(AH$150-AH$149)*10)))</f>
        <v>5.1780682960214941</v>
      </c>
      <c r="AI49" s="3">
        <f t="shared" si="14"/>
        <v>1.726022765340498</v>
      </c>
      <c r="AJ49" s="5">
        <f t="shared" si="17"/>
        <v>6.0310797500688045</v>
      </c>
    </row>
    <row r="50" spans="1:36" s="11" customFormat="1" x14ac:dyDescent="0.25">
      <c r="A50" s="16" t="s">
        <v>417</v>
      </c>
      <c r="B50" s="11" t="s">
        <v>576</v>
      </c>
      <c r="C50" s="126" t="s">
        <v>642</v>
      </c>
      <c r="D50" s="120">
        <f>(VLOOKUP($B50,'Indicator Data (national)'!$B$5:$AP$14,39,FALSE)+VLOOKUP($B50,'Indicator Data (national)'!$B$5:$AP$14,40,FALSE)+VLOOKUP($B50,'Indicator Data (national)'!$B$5:$AP$14,41,FALSE))/VLOOKUP($B50,'Indicator Data (national)'!$B$5:$AP$14,38,FALSE)*1000000</f>
        <v>0.3850863279901553</v>
      </c>
      <c r="E50" s="2">
        <f t="shared" si="3"/>
        <v>8.0745683600492235</v>
      </c>
      <c r="F50" s="3">
        <f t="shared" si="4"/>
        <v>8.0745683600492235</v>
      </c>
      <c r="G50" s="2">
        <f>IF(VLOOKUP($B50,'Indicator Data (national)'!$B$5:$AQ$14,30,FALSE)="No data","x",IF(VLOOKUP($B50,'Indicator Data (national)'!$B$5:$AQ$14,30,FALSE)&gt;G$150,10,IF(VLOOKUP($B50,'Indicator Data (national)'!$B$5:$AQ$14,30,FALSE)&lt;G$149,0,(G$150-VLOOKUP($B50,'Indicator Data (national)'!$B$5:$AQ$14,30,FALSE))/(G$150-G$149)*10)))</f>
        <v>7.5</v>
      </c>
      <c r="H50" s="2">
        <f>IF(VLOOKUP($B50,'Indicator Data (national)'!$B$5:$AQ$14,29,FALSE)="No data","x",IF(VLOOKUP($B50,'Indicator Data (national)'!$B$5:$AQ$14,29,FALSE)&gt;H$150,10,IF(VLOOKUP($B50,'Indicator Data (national)'!$B$5:$AQ$14,29,FALSE)&lt;H$149,0,(H$150-VLOOKUP($B50,'Indicator Data (national)'!$B$5:$AQ$14,29,FALSE))/(H$150-H$149)*10)))</f>
        <v>5.9728583693504333</v>
      </c>
      <c r="I50" s="3">
        <f t="shared" si="5"/>
        <v>6.7364291846752167</v>
      </c>
      <c r="J50" s="5">
        <f t="shared" si="6"/>
        <v>7.4054987723622201</v>
      </c>
      <c r="K50" s="2">
        <f>IF(VLOOKUP($B50,'Indicator Data (national)'!$B$5:$AQ$14,33,FALSE)="No data","x",IF(VLOOKUP($B50,'Indicator Data (national)'!$B$5:$AQ$14,33,FALSE)&gt;K$150,10,IF(VLOOKUP($B50,'Indicator Data (national)'!$B$5:$AQ$14,33,FALSE)&lt;K$149,0,(K$150-VLOOKUP($B50,'Indicator Data (national)'!$B$5:$AQ$14,33,FALSE))/(K$150-K$149)*10)))</f>
        <v>2.2000000000000002</v>
      </c>
      <c r="L50" s="2">
        <f>IF(VLOOKUP($B50,'Indicator Data (national)'!$B$5:$AQ$14,34,FALSE)="No data","x",IF(VLOOKUP($B50,'Indicator Data (national)'!$B$5:$AQ$14,34,FALSE)&gt;L$150,10,IF(VLOOKUP($B50,'Indicator Data (national)'!$B$5:$AQ$14,34,FALSE)&lt;L$149,0,(L$150-VLOOKUP($B50,'Indicator Data (national)'!$B$5:$AQ$14,34,FALSE))/(L$150-L$149)*10)))</f>
        <v>2.8235954477835907</v>
      </c>
      <c r="M50" s="3">
        <f t="shared" si="7"/>
        <v>2.5117977238917955</v>
      </c>
      <c r="N50" s="2">
        <f>IF(VLOOKUP($B50,'Indicator Data (national)'!$B$5:$AS$14,44,FALSE)="No data","x",IF(VLOOKUP($B50,'Indicator Data (national)'!$B$5:$AS$14,44,FALSE)&gt;N$150,10,IF(VLOOKUP($B50,'Indicator Data (national)'!$B$5:$AS$14,44,FALSE)&lt;N$149,0,10-(N$150-VLOOKUP($B50,'Indicator Data (national)'!$B$5:$AS$14,44,FALSE))/(N$150-N$149)*10)))</f>
        <v>3.9000000000000004</v>
      </c>
      <c r="O50" s="2">
        <f>IF(VLOOKUP($B50,'Indicator Data (national)'!$B$5:$AS$14,42,FALSE)="No data","x",IF(VLOOKUP($B50,'Indicator Data (national)'!$B$5:$AS$14,42,FALSE)&gt;O$150,0,IF(VLOOKUP($B50,'Indicator Data (national)'!$B$5:$AS$14,42,FALSE)&lt;O$149,10,(O$150-VLOOKUP($B50,'Indicator Data (national)'!$B$5:$AS$14,42,FALSE))/(O$150-O$149)*10)))</f>
        <v>9.3507578421680311</v>
      </c>
      <c r="P50" s="158">
        <f t="shared" si="8"/>
        <v>6.6253789210840157</v>
      </c>
      <c r="Q50" s="2">
        <f>IF(VLOOKUP($B50,'Indicator Data (national)'!$B$5:$Q$14,16,FALSE)="No data","x",IF(VLOOKUP($B50,'Indicator Data (national)'!$B$5:$Q$14,16,FALSE)&gt;Q$150,0,IF(VLOOKUP($B50,'Indicator Data (national)'!$B$5:$Q$14,16,FALSE)&lt;Q$149,10,(Q$150-VLOOKUP($B50,'Indicator Data (national)'!$B$5:$Q$14,16,FALSE))/(Q$150-Q$149)*10)))</f>
        <v>8.1999999999999993</v>
      </c>
      <c r="R50" s="158">
        <f t="shared" si="9"/>
        <v>8.1999999999999993</v>
      </c>
      <c r="S50" s="3">
        <f t="shared" si="15"/>
        <v>7.4126894605420075</v>
      </c>
      <c r="T50" s="2">
        <f>IF(VLOOKUP($B50,'Indicator Data (national)'!$B$5:$BC$14,43,FALSE)="No data","x",IF(VLOOKUP($B50,'Indicator Data (national)'!$B$5:$BC$14,43,FALSE)&gt;T$150,10,IF(VLOOKUP($B50,'Indicator Data (national)'!$B$5:$BC$14,43,FALSE)&lt;T$149,0,(T$150-VLOOKUP($B50,'Indicator Data (national)'!$B$5:$BC$14,43,FALSE))/(T$150-T$149)*10)))</f>
        <v>9.8647237723687979</v>
      </c>
      <c r="U50" s="3">
        <f t="shared" si="10"/>
        <v>9.8647237723687979</v>
      </c>
      <c r="V50" s="5">
        <f t="shared" si="16"/>
        <v>6.5964036522675329</v>
      </c>
      <c r="W50" s="2">
        <f>IF(VLOOKUP($B50,'Indicator Data (national)'!$B$5:$AS$14,37,FALSE)="No data","x",IF(VLOOKUP($B50,'Indicator Data (national)'!$B$5:$AS$14,37,FALSE)&gt;W$150,10,IF(VLOOKUP($B50,'Indicator Data (national)'!$B$5:$AS$14,37,FALSE)&lt;W$149,0,(LOG(W$150)-LOG(VLOOKUP($B50,'Indicator Data (national)'!$B$5:$AS$14,37,FALSE)))/(LOG(W$150)-LOG(W$149))*10)))</f>
        <v>7.6457347942026841</v>
      </c>
      <c r="X50" s="2">
        <f>IF(VLOOKUP($B50,'Indicator Data (national)'!$B$5:$BB$14,45,FALSE)="No data","x",IF(VLOOKUP($B50,'Indicator Data (national)'!$B$5:$BB$14,45,FALSE)&gt;X$150,10,IF(VLOOKUP($B50,'Indicator Data (national)'!$B$5:$BB$14,45,FALSE)&lt;X$149,0,10-(X$150-VLOOKUP($B50,'Indicator Data (national)'!$B$5:$BB$14,45,FALSE))/(X$150-X$149)*10)))</f>
        <v>6.2222222222222223</v>
      </c>
      <c r="Y50" s="2">
        <f>IF(VLOOKUP($B50,'Indicator Data (national)'!$B$5:$BB$14,46,FALSE)="No data","x",IF(VLOOKUP($B50,'Indicator Data (national)'!$B$5:$BB$14,46,FALSE)&gt;Y$150,10,IF(VLOOKUP($B50,'Indicator Data (national)'!$B$5:$BB$14,46,FALSE)&lt;Y$149,0,(Y$150-VLOOKUP($B50,'Indicator Data (national)'!$B$5:$BB$14,46,FALSE))/(Y$150-Y$149)*10)))</f>
        <v>8</v>
      </c>
      <c r="Z50" s="156">
        <f>IF(VLOOKUP($B50,'Indicator Data (national)'!$B$5:$BB$14,48,FALSE)="No data","x",VLOOKUP($B50,'Indicator Data (national)'!$B$5:$BB$14,47,FALSE)*VLOOKUP($B50,'Indicator Data (national)'!$B$5:$BB$14,48,FALSE))</f>
        <v>9.814910769612494</v>
      </c>
      <c r="AA50" s="2">
        <f t="shared" si="11"/>
        <v>9.0185089230387501</v>
      </c>
      <c r="AB50" s="3">
        <f t="shared" si="12"/>
        <v>7.7216164848659146</v>
      </c>
      <c r="AC50" s="2">
        <f>IF(VLOOKUP($B50,'Indicator Data (national)'!$B$5:$BB$14,49,FALSE)="No data","x",IF(VLOOKUP($B50,'Indicator Data (national)'!$B$5:$BB$14,49,FALSE)&gt;AC$150,0,IF(VLOOKUP($B50,'Indicator Data (national)'!$B$5:$BB$14,49,FALSE)&lt;AC$149,10,(AC$150-VLOOKUP($B50,'Indicator Data (national)'!$B$5:$BB$14,49,FALSE))/(AC$150-AC$149)*10)))</f>
        <v>8.6440000000000001</v>
      </c>
      <c r="AD50" s="2">
        <f>IF(VLOOKUP($B50,'Indicator Data (national)'!$B$5:$BB$14,50,FALSE)="No data","x",IF(VLOOKUP($B50,'Indicator Data (national)'!$B$5:$BB$14,50,FALSE)&gt;AD$150,0,IF(VLOOKUP($B50,'Indicator Data (national)'!$B$5:$BB$14,50,FALSE)&lt;AD$149,10,(AD$150-VLOOKUP($B50,'Indicator Data (national)'!$B$5:$BB$14,50,FALSE))/(AD$150-AD$149)*10)))</f>
        <v>8.6471999999999998</v>
      </c>
      <c r="AE50" s="3">
        <f t="shared" si="13"/>
        <v>8.6456</v>
      </c>
      <c r="AF50" s="2">
        <f>IF(VLOOKUP($B50,'Indicator Data (national)'!$B$5:$BB$14,51,FALSE)="No data","x",IF(VLOOKUP($B50,'Indicator Data (national)'!$B$5:$BB$14,51,FALSE)&gt;AF$150,0,IF(VLOOKUP($B50,'Indicator Data (national)'!$B$5:$BB$14,51,FALSE)&lt;AF$149,10,(AF$150-VLOOKUP($B50,'Indicator Data (national)'!$B$5:$BB$14,51,FALSE))/(AF$150-AF$149)*10)))</f>
        <v>0</v>
      </c>
      <c r="AG50" s="2">
        <f>IF(VLOOKUP($B50,'Indicator Data (national)'!$B$5:$BB$14,52,FALSE)="No data","x",IF(VLOOKUP($B50,'Indicator Data (national)'!$B$5:$BB$14,52,FALSE)&gt;AG$150,0,IF(VLOOKUP($B50,'Indicator Data (national)'!$B$5:$BB$14,52,FALSE)&lt;AG$149,10,(AG$150-VLOOKUP($B50,'Indicator Data (national)'!$B$5:$BB$14,52,FALSE))/(AG$150-AG$149)*10)))</f>
        <v>0</v>
      </c>
      <c r="AH50" s="2">
        <f>IF(VLOOKUP($B50,'Indicator Data (national)'!$B$5:$BB$14,53,FALSE)="No data","x",IF(VLOOKUP($B50,'Indicator Data (national)'!$B$5:$BB$14,53,FALSE)&gt;AH$150,0,IF(VLOOKUP($B50,'Indicator Data (national)'!$B$5:$BB$14,53,FALSE)&lt;AH$149,10,(AH$150-VLOOKUP($B50,'Indicator Data (national)'!$B$5:$BB$14,53,FALSE))/(AH$150-AH$149)*10)))</f>
        <v>5.1780682960214941</v>
      </c>
      <c r="AI50" s="3">
        <f t="shared" si="14"/>
        <v>1.726022765340498</v>
      </c>
      <c r="AJ50" s="5">
        <f t="shared" si="17"/>
        <v>6.0310797500688045</v>
      </c>
    </row>
    <row r="51" spans="1:36" s="11" customFormat="1" x14ac:dyDescent="0.25">
      <c r="A51" s="16" t="s">
        <v>418</v>
      </c>
      <c r="B51" s="11" t="s">
        <v>576</v>
      </c>
      <c r="C51" s="126" t="s">
        <v>643</v>
      </c>
      <c r="D51" s="120">
        <f>(VLOOKUP($B51,'Indicator Data (national)'!$B$5:$AP$14,39,FALSE)+VLOOKUP($B51,'Indicator Data (national)'!$B$5:$AP$14,40,FALSE)+VLOOKUP($B51,'Indicator Data (national)'!$B$5:$AP$14,41,FALSE))/VLOOKUP($B51,'Indicator Data (national)'!$B$5:$AP$14,38,FALSE)*1000000</f>
        <v>0.3850863279901553</v>
      </c>
      <c r="E51" s="2">
        <f t="shared" si="3"/>
        <v>8.0745683600492235</v>
      </c>
      <c r="F51" s="3">
        <f t="shared" si="4"/>
        <v>8.0745683600492235</v>
      </c>
      <c r="G51" s="2">
        <f>IF(VLOOKUP($B51,'Indicator Data (national)'!$B$5:$AQ$14,30,FALSE)="No data","x",IF(VLOOKUP($B51,'Indicator Data (national)'!$B$5:$AQ$14,30,FALSE)&gt;G$150,10,IF(VLOOKUP($B51,'Indicator Data (national)'!$B$5:$AQ$14,30,FALSE)&lt;G$149,0,(G$150-VLOOKUP($B51,'Indicator Data (national)'!$B$5:$AQ$14,30,FALSE))/(G$150-G$149)*10)))</f>
        <v>7.5</v>
      </c>
      <c r="H51" s="2">
        <f>IF(VLOOKUP($B51,'Indicator Data (national)'!$B$5:$AQ$14,29,FALSE)="No data","x",IF(VLOOKUP($B51,'Indicator Data (national)'!$B$5:$AQ$14,29,FALSE)&gt;H$150,10,IF(VLOOKUP($B51,'Indicator Data (national)'!$B$5:$AQ$14,29,FALSE)&lt;H$149,0,(H$150-VLOOKUP($B51,'Indicator Data (national)'!$B$5:$AQ$14,29,FALSE))/(H$150-H$149)*10)))</f>
        <v>5.9728583693504333</v>
      </c>
      <c r="I51" s="3">
        <f t="shared" si="5"/>
        <v>6.7364291846752167</v>
      </c>
      <c r="J51" s="5">
        <f t="shared" si="6"/>
        <v>7.4054987723622201</v>
      </c>
      <c r="K51" s="2">
        <f>IF(VLOOKUP($B51,'Indicator Data (national)'!$B$5:$AQ$14,33,FALSE)="No data","x",IF(VLOOKUP($B51,'Indicator Data (national)'!$B$5:$AQ$14,33,FALSE)&gt;K$150,10,IF(VLOOKUP($B51,'Indicator Data (national)'!$B$5:$AQ$14,33,FALSE)&lt;K$149,0,(K$150-VLOOKUP($B51,'Indicator Data (national)'!$B$5:$AQ$14,33,FALSE))/(K$150-K$149)*10)))</f>
        <v>2.2000000000000002</v>
      </c>
      <c r="L51" s="2">
        <f>IF(VLOOKUP($B51,'Indicator Data (national)'!$B$5:$AQ$14,34,FALSE)="No data","x",IF(VLOOKUP($B51,'Indicator Data (national)'!$B$5:$AQ$14,34,FALSE)&gt;L$150,10,IF(VLOOKUP($B51,'Indicator Data (national)'!$B$5:$AQ$14,34,FALSE)&lt;L$149,0,(L$150-VLOOKUP($B51,'Indicator Data (national)'!$B$5:$AQ$14,34,FALSE))/(L$150-L$149)*10)))</f>
        <v>2.8235954477835907</v>
      </c>
      <c r="M51" s="3">
        <f t="shared" si="7"/>
        <v>2.5117977238917955</v>
      </c>
      <c r="N51" s="2">
        <f>IF(VLOOKUP($B51,'Indicator Data (national)'!$B$5:$AS$14,44,FALSE)="No data","x",IF(VLOOKUP($B51,'Indicator Data (national)'!$B$5:$AS$14,44,FALSE)&gt;N$150,10,IF(VLOOKUP($B51,'Indicator Data (national)'!$B$5:$AS$14,44,FALSE)&lt;N$149,0,10-(N$150-VLOOKUP($B51,'Indicator Data (national)'!$B$5:$AS$14,44,FALSE))/(N$150-N$149)*10)))</f>
        <v>3.9000000000000004</v>
      </c>
      <c r="O51" s="2">
        <f>IF(VLOOKUP($B51,'Indicator Data (national)'!$B$5:$AS$14,42,FALSE)="No data","x",IF(VLOOKUP($B51,'Indicator Data (national)'!$B$5:$AS$14,42,FALSE)&gt;O$150,0,IF(VLOOKUP($B51,'Indicator Data (national)'!$B$5:$AS$14,42,FALSE)&lt;O$149,10,(O$150-VLOOKUP($B51,'Indicator Data (national)'!$B$5:$AS$14,42,FALSE))/(O$150-O$149)*10)))</f>
        <v>9.3507578421680311</v>
      </c>
      <c r="P51" s="158">
        <f t="shared" si="8"/>
        <v>6.6253789210840157</v>
      </c>
      <c r="Q51" s="2">
        <f>IF(VLOOKUP($B51,'Indicator Data (national)'!$B$5:$Q$14,16,FALSE)="No data","x",IF(VLOOKUP($B51,'Indicator Data (national)'!$B$5:$Q$14,16,FALSE)&gt;Q$150,0,IF(VLOOKUP($B51,'Indicator Data (national)'!$B$5:$Q$14,16,FALSE)&lt;Q$149,10,(Q$150-VLOOKUP($B51,'Indicator Data (national)'!$B$5:$Q$14,16,FALSE))/(Q$150-Q$149)*10)))</f>
        <v>8.1999999999999993</v>
      </c>
      <c r="R51" s="158">
        <f t="shared" si="9"/>
        <v>8.1999999999999993</v>
      </c>
      <c r="S51" s="3">
        <f t="shared" si="15"/>
        <v>7.4126894605420075</v>
      </c>
      <c r="T51" s="2">
        <f>IF(VLOOKUP($B51,'Indicator Data (national)'!$B$5:$BC$14,43,FALSE)="No data","x",IF(VLOOKUP($B51,'Indicator Data (national)'!$B$5:$BC$14,43,FALSE)&gt;T$150,10,IF(VLOOKUP($B51,'Indicator Data (national)'!$B$5:$BC$14,43,FALSE)&lt;T$149,0,(T$150-VLOOKUP($B51,'Indicator Data (national)'!$B$5:$BC$14,43,FALSE))/(T$150-T$149)*10)))</f>
        <v>9.8647237723687979</v>
      </c>
      <c r="U51" s="3">
        <f t="shared" si="10"/>
        <v>9.8647237723687979</v>
      </c>
      <c r="V51" s="5">
        <f t="shared" si="16"/>
        <v>6.5964036522675329</v>
      </c>
      <c r="W51" s="2">
        <f>IF(VLOOKUP($B51,'Indicator Data (national)'!$B$5:$AS$14,37,FALSE)="No data","x",IF(VLOOKUP($B51,'Indicator Data (national)'!$B$5:$AS$14,37,FALSE)&gt;W$150,10,IF(VLOOKUP($B51,'Indicator Data (national)'!$B$5:$AS$14,37,FALSE)&lt;W$149,0,(LOG(W$150)-LOG(VLOOKUP($B51,'Indicator Data (national)'!$B$5:$AS$14,37,FALSE)))/(LOG(W$150)-LOG(W$149))*10)))</f>
        <v>7.6457347942026841</v>
      </c>
      <c r="X51" s="2">
        <f>IF(VLOOKUP($B51,'Indicator Data (national)'!$B$5:$BB$14,45,FALSE)="No data","x",IF(VLOOKUP($B51,'Indicator Data (national)'!$B$5:$BB$14,45,FALSE)&gt;X$150,10,IF(VLOOKUP($B51,'Indicator Data (national)'!$B$5:$BB$14,45,FALSE)&lt;X$149,0,10-(X$150-VLOOKUP($B51,'Indicator Data (national)'!$B$5:$BB$14,45,FALSE))/(X$150-X$149)*10)))</f>
        <v>6.2222222222222223</v>
      </c>
      <c r="Y51" s="2">
        <f>IF(VLOOKUP($B51,'Indicator Data (national)'!$B$5:$BB$14,46,FALSE)="No data","x",IF(VLOOKUP($B51,'Indicator Data (national)'!$B$5:$BB$14,46,FALSE)&gt;Y$150,10,IF(VLOOKUP($B51,'Indicator Data (national)'!$B$5:$BB$14,46,FALSE)&lt;Y$149,0,(Y$150-VLOOKUP($B51,'Indicator Data (national)'!$B$5:$BB$14,46,FALSE))/(Y$150-Y$149)*10)))</f>
        <v>8</v>
      </c>
      <c r="Z51" s="156">
        <f>IF(VLOOKUP($B51,'Indicator Data (national)'!$B$5:$BB$14,48,FALSE)="No data","x",VLOOKUP($B51,'Indicator Data (national)'!$B$5:$BB$14,47,FALSE)*VLOOKUP($B51,'Indicator Data (national)'!$B$5:$BB$14,48,FALSE))</f>
        <v>9.814910769612494</v>
      </c>
      <c r="AA51" s="2">
        <f t="shared" si="11"/>
        <v>9.0185089230387501</v>
      </c>
      <c r="AB51" s="3">
        <f t="shared" si="12"/>
        <v>7.7216164848659146</v>
      </c>
      <c r="AC51" s="2">
        <f>IF(VLOOKUP($B51,'Indicator Data (national)'!$B$5:$BB$14,49,FALSE)="No data","x",IF(VLOOKUP($B51,'Indicator Data (national)'!$B$5:$BB$14,49,FALSE)&gt;AC$150,0,IF(VLOOKUP($B51,'Indicator Data (national)'!$B$5:$BB$14,49,FALSE)&lt;AC$149,10,(AC$150-VLOOKUP($B51,'Indicator Data (national)'!$B$5:$BB$14,49,FALSE))/(AC$150-AC$149)*10)))</f>
        <v>8.6440000000000001</v>
      </c>
      <c r="AD51" s="2">
        <f>IF(VLOOKUP($B51,'Indicator Data (national)'!$B$5:$BB$14,50,FALSE)="No data","x",IF(VLOOKUP($B51,'Indicator Data (national)'!$B$5:$BB$14,50,FALSE)&gt;AD$150,0,IF(VLOOKUP($B51,'Indicator Data (national)'!$B$5:$BB$14,50,FALSE)&lt;AD$149,10,(AD$150-VLOOKUP($B51,'Indicator Data (national)'!$B$5:$BB$14,50,FALSE))/(AD$150-AD$149)*10)))</f>
        <v>8.6471999999999998</v>
      </c>
      <c r="AE51" s="3">
        <f t="shared" si="13"/>
        <v>8.6456</v>
      </c>
      <c r="AF51" s="2">
        <f>IF(VLOOKUP($B51,'Indicator Data (national)'!$B$5:$BB$14,51,FALSE)="No data","x",IF(VLOOKUP($B51,'Indicator Data (national)'!$B$5:$BB$14,51,FALSE)&gt;AF$150,0,IF(VLOOKUP($B51,'Indicator Data (national)'!$B$5:$BB$14,51,FALSE)&lt;AF$149,10,(AF$150-VLOOKUP($B51,'Indicator Data (national)'!$B$5:$BB$14,51,FALSE))/(AF$150-AF$149)*10)))</f>
        <v>0</v>
      </c>
      <c r="AG51" s="2">
        <f>IF(VLOOKUP($B51,'Indicator Data (national)'!$B$5:$BB$14,52,FALSE)="No data","x",IF(VLOOKUP($B51,'Indicator Data (national)'!$B$5:$BB$14,52,FALSE)&gt;AG$150,0,IF(VLOOKUP($B51,'Indicator Data (national)'!$B$5:$BB$14,52,FALSE)&lt;AG$149,10,(AG$150-VLOOKUP($B51,'Indicator Data (national)'!$B$5:$BB$14,52,FALSE))/(AG$150-AG$149)*10)))</f>
        <v>0</v>
      </c>
      <c r="AH51" s="2">
        <f>IF(VLOOKUP($B51,'Indicator Data (national)'!$B$5:$BB$14,53,FALSE)="No data","x",IF(VLOOKUP($B51,'Indicator Data (national)'!$B$5:$BB$14,53,FALSE)&gt;AH$150,0,IF(VLOOKUP($B51,'Indicator Data (national)'!$B$5:$BB$14,53,FALSE)&lt;AH$149,10,(AH$150-VLOOKUP($B51,'Indicator Data (national)'!$B$5:$BB$14,53,FALSE))/(AH$150-AH$149)*10)))</f>
        <v>5.1780682960214941</v>
      </c>
      <c r="AI51" s="3">
        <f t="shared" si="14"/>
        <v>1.726022765340498</v>
      </c>
      <c r="AJ51" s="5">
        <f t="shared" si="17"/>
        <v>6.0310797500688045</v>
      </c>
    </row>
    <row r="52" spans="1:36" s="11" customFormat="1" x14ac:dyDescent="0.25">
      <c r="A52" s="16" t="s">
        <v>419</v>
      </c>
      <c r="B52" s="11" t="s">
        <v>576</v>
      </c>
      <c r="C52" s="126" t="s">
        <v>644</v>
      </c>
      <c r="D52" s="120">
        <f>(VLOOKUP($B52,'Indicator Data (national)'!$B$5:$AP$14,39,FALSE)+VLOOKUP($B52,'Indicator Data (national)'!$B$5:$AP$14,40,FALSE)+VLOOKUP($B52,'Indicator Data (national)'!$B$5:$AP$14,41,FALSE))/VLOOKUP($B52,'Indicator Data (national)'!$B$5:$AP$14,38,FALSE)*1000000</f>
        <v>0.3850863279901553</v>
      </c>
      <c r="E52" s="2">
        <f t="shared" si="3"/>
        <v>8.0745683600492235</v>
      </c>
      <c r="F52" s="3">
        <f t="shared" si="4"/>
        <v>8.0745683600492235</v>
      </c>
      <c r="G52" s="2">
        <f>IF(VLOOKUP($B52,'Indicator Data (national)'!$B$5:$AQ$14,30,FALSE)="No data","x",IF(VLOOKUP($B52,'Indicator Data (national)'!$B$5:$AQ$14,30,FALSE)&gt;G$150,10,IF(VLOOKUP($B52,'Indicator Data (national)'!$B$5:$AQ$14,30,FALSE)&lt;G$149,0,(G$150-VLOOKUP($B52,'Indicator Data (national)'!$B$5:$AQ$14,30,FALSE))/(G$150-G$149)*10)))</f>
        <v>7.5</v>
      </c>
      <c r="H52" s="2">
        <f>IF(VLOOKUP($B52,'Indicator Data (national)'!$B$5:$AQ$14,29,FALSE)="No data","x",IF(VLOOKUP($B52,'Indicator Data (national)'!$B$5:$AQ$14,29,FALSE)&gt;H$150,10,IF(VLOOKUP($B52,'Indicator Data (national)'!$B$5:$AQ$14,29,FALSE)&lt;H$149,0,(H$150-VLOOKUP($B52,'Indicator Data (national)'!$B$5:$AQ$14,29,FALSE))/(H$150-H$149)*10)))</f>
        <v>5.9728583693504333</v>
      </c>
      <c r="I52" s="3">
        <f t="shared" si="5"/>
        <v>6.7364291846752167</v>
      </c>
      <c r="J52" s="5">
        <f t="shared" si="6"/>
        <v>7.4054987723622201</v>
      </c>
      <c r="K52" s="2">
        <f>IF(VLOOKUP($B52,'Indicator Data (national)'!$B$5:$AQ$14,33,FALSE)="No data","x",IF(VLOOKUP($B52,'Indicator Data (national)'!$B$5:$AQ$14,33,FALSE)&gt;K$150,10,IF(VLOOKUP($B52,'Indicator Data (national)'!$B$5:$AQ$14,33,FALSE)&lt;K$149,0,(K$150-VLOOKUP($B52,'Indicator Data (national)'!$B$5:$AQ$14,33,FALSE))/(K$150-K$149)*10)))</f>
        <v>2.2000000000000002</v>
      </c>
      <c r="L52" s="2">
        <f>IF(VLOOKUP($B52,'Indicator Data (national)'!$B$5:$AQ$14,34,FALSE)="No data","x",IF(VLOOKUP($B52,'Indicator Data (national)'!$B$5:$AQ$14,34,FALSE)&gt;L$150,10,IF(VLOOKUP($B52,'Indicator Data (national)'!$B$5:$AQ$14,34,FALSE)&lt;L$149,0,(L$150-VLOOKUP($B52,'Indicator Data (national)'!$B$5:$AQ$14,34,FALSE))/(L$150-L$149)*10)))</f>
        <v>2.8235954477835907</v>
      </c>
      <c r="M52" s="3">
        <f t="shared" si="7"/>
        <v>2.5117977238917955</v>
      </c>
      <c r="N52" s="2">
        <f>IF(VLOOKUP($B52,'Indicator Data (national)'!$B$5:$AS$14,44,FALSE)="No data","x",IF(VLOOKUP($B52,'Indicator Data (national)'!$B$5:$AS$14,44,FALSE)&gt;N$150,10,IF(VLOOKUP($B52,'Indicator Data (national)'!$B$5:$AS$14,44,FALSE)&lt;N$149,0,10-(N$150-VLOOKUP($B52,'Indicator Data (national)'!$B$5:$AS$14,44,FALSE))/(N$150-N$149)*10)))</f>
        <v>3.9000000000000004</v>
      </c>
      <c r="O52" s="2">
        <f>IF(VLOOKUP($B52,'Indicator Data (national)'!$B$5:$AS$14,42,FALSE)="No data","x",IF(VLOOKUP($B52,'Indicator Data (national)'!$B$5:$AS$14,42,FALSE)&gt;O$150,0,IF(VLOOKUP($B52,'Indicator Data (national)'!$B$5:$AS$14,42,FALSE)&lt;O$149,10,(O$150-VLOOKUP($B52,'Indicator Data (national)'!$B$5:$AS$14,42,FALSE))/(O$150-O$149)*10)))</f>
        <v>9.3507578421680311</v>
      </c>
      <c r="P52" s="158">
        <f t="shared" si="8"/>
        <v>6.6253789210840157</v>
      </c>
      <c r="Q52" s="2">
        <f>IF(VLOOKUP($B52,'Indicator Data (national)'!$B$5:$Q$14,16,FALSE)="No data","x",IF(VLOOKUP($B52,'Indicator Data (national)'!$B$5:$Q$14,16,FALSE)&gt;Q$150,0,IF(VLOOKUP($B52,'Indicator Data (national)'!$B$5:$Q$14,16,FALSE)&lt;Q$149,10,(Q$150-VLOOKUP($B52,'Indicator Data (national)'!$B$5:$Q$14,16,FALSE))/(Q$150-Q$149)*10)))</f>
        <v>8.1999999999999993</v>
      </c>
      <c r="R52" s="158">
        <f t="shared" si="9"/>
        <v>8.1999999999999993</v>
      </c>
      <c r="S52" s="3">
        <f t="shared" si="15"/>
        <v>7.4126894605420075</v>
      </c>
      <c r="T52" s="2">
        <f>IF(VLOOKUP($B52,'Indicator Data (national)'!$B$5:$BC$14,43,FALSE)="No data","x",IF(VLOOKUP($B52,'Indicator Data (national)'!$B$5:$BC$14,43,FALSE)&gt;T$150,10,IF(VLOOKUP($B52,'Indicator Data (national)'!$B$5:$BC$14,43,FALSE)&lt;T$149,0,(T$150-VLOOKUP($B52,'Indicator Data (national)'!$B$5:$BC$14,43,FALSE))/(T$150-T$149)*10)))</f>
        <v>9.8647237723687979</v>
      </c>
      <c r="U52" s="3">
        <f t="shared" si="10"/>
        <v>9.8647237723687979</v>
      </c>
      <c r="V52" s="5">
        <f t="shared" si="16"/>
        <v>6.5964036522675329</v>
      </c>
      <c r="W52" s="2">
        <f>IF(VLOOKUP($B52,'Indicator Data (national)'!$B$5:$AS$14,37,FALSE)="No data","x",IF(VLOOKUP($B52,'Indicator Data (national)'!$B$5:$AS$14,37,FALSE)&gt;W$150,10,IF(VLOOKUP($B52,'Indicator Data (national)'!$B$5:$AS$14,37,FALSE)&lt;W$149,0,(LOG(W$150)-LOG(VLOOKUP($B52,'Indicator Data (national)'!$B$5:$AS$14,37,FALSE)))/(LOG(W$150)-LOG(W$149))*10)))</f>
        <v>7.6457347942026841</v>
      </c>
      <c r="X52" s="2">
        <f>IF(VLOOKUP($B52,'Indicator Data (national)'!$B$5:$BB$14,45,FALSE)="No data","x",IF(VLOOKUP($B52,'Indicator Data (national)'!$B$5:$BB$14,45,FALSE)&gt;X$150,10,IF(VLOOKUP($B52,'Indicator Data (national)'!$B$5:$BB$14,45,FALSE)&lt;X$149,0,10-(X$150-VLOOKUP($B52,'Indicator Data (national)'!$B$5:$BB$14,45,FALSE))/(X$150-X$149)*10)))</f>
        <v>6.2222222222222223</v>
      </c>
      <c r="Y52" s="2">
        <f>IF(VLOOKUP($B52,'Indicator Data (national)'!$B$5:$BB$14,46,FALSE)="No data","x",IF(VLOOKUP($B52,'Indicator Data (national)'!$B$5:$BB$14,46,FALSE)&gt;Y$150,10,IF(VLOOKUP($B52,'Indicator Data (national)'!$B$5:$BB$14,46,FALSE)&lt;Y$149,0,(Y$150-VLOOKUP($B52,'Indicator Data (national)'!$B$5:$BB$14,46,FALSE))/(Y$150-Y$149)*10)))</f>
        <v>8</v>
      </c>
      <c r="Z52" s="156">
        <f>IF(VLOOKUP($B52,'Indicator Data (national)'!$B$5:$BB$14,48,FALSE)="No data","x",VLOOKUP($B52,'Indicator Data (national)'!$B$5:$BB$14,47,FALSE)*VLOOKUP($B52,'Indicator Data (national)'!$B$5:$BB$14,48,FALSE))</f>
        <v>9.814910769612494</v>
      </c>
      <c r="AA52" s="2">
        <f t="shared" si="11"/>
        <v>9.0185089230387501</v>
      </c>
      <c r="AB52" s="3">
        <f t="shared" si="12"/>
        <v>7.7216164848659146</v>
      </c>
      <c r="AC52" s="2">
        <f>IF(VLOOKUP($B52,'Indicator Data (national)'!$B$5:$BB$14,49,FALSE)="No data","x",IF(VLOOKUP($B52,'Indicator Data (national)'!$B$5:$BB$14,49,FALSE)&gt;AC$150,0,IF(VLOOKUP($B52,'Indicator Data (national)'!$B$5:$BB$14,49,FALSE)&lt;AC$149,10,(AC$150-VLOOKUP($B52,'Indicator Data (national)'!$B$5:$BB$14,49,FALSE))/(AC$150-AC$149)*10)))</f>
        <v>8.6440000000000001</v>
      </c>
      <c r="AD52" s="2">
        <f>IF(VLOOKUP($B52,'Indicator Data (national)'!$B$5:$BB$14,50,FALSE)="No data","x",IF(VLOOKUP($B52,'Indicator Data (national)'!$B$5:$BB$14,50,FALSE)&gt;AD$150,0,IF(VLOOKUP($B52,'Indicator Data (national)'!$B$5:$BB$14,50,FALSE)&lt;AD$149,10,(AD$150-VLOOKUP($B52,'Indicator Data (national)'!$B$5:$BB$14,50,FALSE))/(AD$150-AD$149)*10)))</f>
        <v>8.6471999999999998</v>
      </c>
      <c r="AE52" s="3">
        <f t="shared" si="13"/>
        <v>8.6456</v>
      </c>
      <c r="AF52" s="2">
        <f>IF(VLOOKUP($B52,'Indicator Data (national)'!$B$5:$BB$14,51,FALSE)="No data","x",IF(VLOOKUP($B52,'Indicator Data (national)'!$B$5:$BB$14,51,FALSE)&gt;AF$150,0,IF(VLOOKUP($B52,'Indicator Data (national)'!$B$5:$BB$14,51,FALSE)&lt;AF$149,10,(AF$150-VLOOKUP($B52,'Indicator Data (national)'!$B$5:$BB$14,51,FALSE))/(AF$150-AF$149)*10)))</f>
        <v>0</v>
      </c>
      <c r="AG52" s="2">
        <f>IF(VLOOKUP($B52,'Indicator Data (national)'!$B$5:$BB$14,52,FALSE)="No data","x",IF(VLOOKUP($B52,'Indicator Data (national)'!$B$5:$BB$14,52,FALSE)&gt;AG$150,0,IF(VLOOKUP($B52,'Indicator Data (national)'!$B$5:$BB$14,52,FALSE)&lt;AG$149,10,(AG$150-VLOOKUP($B52,'Indicator Data (national)'!$B$5:$BB$14,52,FALSE))/(AG$150-AG$149)*10)))</f>
        <v>0</v>
      </c>
      <c r="AH52" s="2">
        <f>IF(VLOOKUP($B52,'Indicator Data (national)'!$B$5:$BB$14,53,FALSE)="No data","x",IF(VLOOKUP($B52,'Indicator Data (national)'!$B$5:$BB$14,53,FALSE)&gt;AH$150,0,IF(VLOOKUP($B52,'Indicator Data (national)'!$B$5:$BB$14,53,FALSE)&lt;AH$149,10,(AH$150-VLOOKUP($B52,'Indicator Data (national)'!$B$5:$BB$14,53,FALSE))/(AH$150-AH$149)*10)))</f>
        <v>5.1780682960214941</v>
      </c>
      <c r="AI52" s="3">
        <f t="shared" si="14"/>
        <v>1.726022765340498</v>
      </c>
      <c r="AJ52" s="5">
        <f t="shared" si="17"/>
        <v>6.0310797500688045</v>
      </c>
    </row>
    <row r="53" spans="1:36" s="11" customFormat="1" x14ac:dyDescent="0.25">
      <c r="A53" s="16" t="s">
        <v>420</v>
      </c>
      <c r="B53" s="11" t="s">
        <v>576</v>
      </c>
      <c r="C53" s="126" t="s">
        <v>645</v>
      </c>
      <c r="D53" s="120">
        <f>(VLOOKUP($B53,'Indicator Data (national)'!$B$5:$AP$14,39,FALSE)+VLOOKUP($B53,'Indicator Data (national)'!$B$5:$AP$14,40,FALSE)+VLOOKUP($B53,'Indicator Data (national)'!$B$5:$AP$14,41,FALSE))/VLOOKUP($B53,'Indicator Data (national)'!$B$5:$AP$14,38,FALSE)*1000000</f>
        <v>0.3850863279901553</v>
      </c>
      <c r="E53" s="2">
        <f t="shared" si="3"/>
        <v>8.0745683600492235</v>
      </c>
      <c r="F53" s="3">
        <f t="shared" si="4"/>
        <v>8.0745683600492235</v>
      </c>
      <c r="G53" s="2">
        <f>IF(VLOOKUP($B53,'Indicator Data (national)'!$B$5:$AQ$14,30,FALSE)="No data","x",IF(VLOOKUP($B53,'Indicator Data (national)'!$B$5:$AQ$14,30,FALSE)&gt;G$150,10,IF(VLOOKUP($B53,'Indicator Data (national)'!$B$5:$AQ$14,30,FALSE)&lt;G$149,0,(G$150-VLOOKUP($B53,'Indicator Data (national)'!$B$5:$AQ$14,30,FALSE))/(G$150-G$149)*10)))</f>
        <v>7.5</v>
      </c>
      <c r="H53" s="2">
        <f>IF(VLOOKUP($B53,'Indicator Data (national)'!$B$5:$AQ$14,29,FALSE)="No data","x",IF(VLOOKUP($B53,'Indicator Data (national)'!$B$5:$AQ$14,29,FALSE)&gt;H$150,10,IF(VLOOKUP($B53,'Indicator Data (national)'!$B$5:$AQ$14,29,FALSE)&lt;H$149,0,(H$150-VLOOKUP($B53,'Indicator Data (national)'!$B$5:$AQ$14,29,FALSE))/(H$150-H$149)*10)))</f>
        <v>5.9728583693504333</v>
      </c>
      <c r="I53" s="3">
        <f t="shared" si="5"/>
        <v>6.7364291846752167</v>
      </c>
      <c r="J53" s="5">
        <f t="shared" si="6"/>
        <v>7.4054987723622201</v>
      </c>
      <c r="K53" s="2">
        <f>IF(VLOOKUP($B53,'Indicator Data (national)'!$B$5:$AQ$14,33,FALSE)="No data","x",IF(VLOOKUP($B53,'Indicator Data (national)'!$B$5:$AQ$14,33,FALSE)&gt;K$150,10,IF(VLOOKUP($B53,'Indicator Data (national)'!$B$5:$AQ$14,33,FALSE)&lt;K$149,0,(K$150-VLOOKUP($B53,'Indicator Data (national)'!$B$5:$AQ$14,33,FALSE))/(K$150-K$149)*10)))</f>
        <v>2.2000000000000002</v>
      </c>
      <c r="L53" s="2">
        <f>IF(VLOOKUP($B53,'Indicator Data (national)'!$B$5:$AQ$14,34,FALSE)="No data","x",IF(VLOOKUP($B53,'Indicator Data (national)'!$B$5:$AQ$14,34,FALSE)&gt;L$150,10,IF(VLOOKUP($B53,'Indicator Data (national)'!$B$5:$AQ$14,34,FALSE)&lt;L$149,0,(L$150-VLOOKUP($B53,'Indicator Data (national)'!$B$5:$AQ$14,34,FALSE))/(L$150-L$149)*10)))</f>
        <v>2.8235954477835907</v>
      </c>
      <c r="M53" s="3">
        <f t="shared" si="7"/>
        <v>2.5117977238917955</v>
      </c>
      <c r="N53" s="2">
        <f>IF(VLOOKUP($B53,'Indicator Data (national)'!$B$5:$AS$14,44,FALSE)="No data","x",IF(VLOOKUP($B53,'Indicator Data (national)'!$B$5:$AS$14,44,FALSE)&gt;N$150,10,IF(VLOOKUP($B53,'Indicator Data (national)'!$B$5:$AS$14,44,FALSE)&lt;N$149,0,10-(N$150-VLOOKUP($B53,'Indicator Data (national)'!$B$5:$AS$14,44,FALSE))/(N$150-N$149)*10)))</f>
        <v>3.9000000000000004</v>
      </c>
      <c r="O53" s="2">
        <f>IF(VLOOKUP($B53,'Indicator Data (national)'!$B$5:$AS$14,42,FALSE)="No data","x",IF(VLOOKUP($B53,'Indicator Data (national)'!$B$5:$AS$14,42,FALSE)&gt;O$150,0,IF(VLOOKUP($B53,'Indicator Data (national)'!$B$5:$AS$14,42,FALSE)&lt;O$149,10,(O$150-VLOOKUP($B53,'Indicator Data (national)'!$B$5:$AS$14,42,FALSE))/(O$150-O$149)*10)))</f>
        <v>9.3507578421680311</v>
      </c>
      <c r="P53" s="158">
        <f t="shared" si="8"/>
        <v>6.6253789210840157</v>
      </c>
      <c r="Q53" s="2">
        <f>IF(VLOOKUP($B53,'Indicator Data (national)'!$B$5:$Q$14,16,FALSE)="No data","x",IF(VLOOKUP($B53,'Indicator Data (national)'!$B$5:$Q$14,16,FALSE)&gt;Q$150,0,IF(VLOOKUP($B53,'Indicator Data (national)'!$B$5:$Q$14,16,FALSE)&lt;Q$149,10,(Q$150-VLOOKUP($B53,'Indicator Data (national)'!$B$5:$Q$14,16,FALSE))/(Q$150-Q$149)*10)))</f>
        <v>8.1999999999999993</v>
      </c>
      <c r="R53" s="158">
        <f t="shared" si="9"/>
        <v>8.1999999999999993</v>
      </c>
      <c r="S53" s="3">
        <f t="shared" si="15"/>
        <v>7.4126894605420075</v>
      </c>
      <c r="T53" s="2">
        <f>IF(VLOOKUP($B53,'Indicator Data (national)'!$B$5:$BC$14,43,FALSE)="No data","x",IF(VLOOKUP($B53,'Indicator Data (national)'!$B$5:$BC$14,43,FALSE)&gt;T$150,10,IF(VLOOKUP($B53,'Indicator Data (national)'!$B$5:$BC$14,43,FALSE)&lt;T$149,0,(T$150-VLOOKUP($B53,'Indicator Data (national)'!$B$5:$BC$14,43,FALSE))/(T$150-T$149)*10)))</f>
        <v>9.8647237723687979</v>
      </c>
      <c r="U53" s="3">
        <f t="shared" si="10"/>
        <v>9.8647237723687979</v>
      </c>
      <c r="V53" s="5">
        <f t="shared" si="16"/>
        <v>6.5964036522675329</v>
      </c>
      <c r="W53" s="2">
        <f>IF(VLOOKUP($B53,'Indicator Data (national)'!$B$5:$AS$14,37,FALSE)="No data","x",IF(VLOOKUP($B53,'Indicator Data (national)'!$B$5:$AS$14,37,FALSE)&gt;W$150,10,IF(VLOOKUP($B53,'Indicator Data (national)'!$B$5:$AS$14,37,FALSE)&lt;W$149,0,(LOG(W$150)-LOG(VLOOKUP($B53,'Indicator Data (national)'!$B$5:$AS$14,37,FALSE)))/(LOG(W$150)-LOG(W$149))*10)))</f>
        <v>7.6457347942026841</v>
      </c>
      <c r="X53" s="2">
        <f>IF(VLOOKUP($B53,'Indicator Data (national)'!$B$5:$BB$14,45,FALSE)="No data","x",IF(VLOOKUP($B53,'Indicator Data (national)'!$B$5:$BB$14,45,FALSE)&gt;X$150,10,IF(VLOOKUP($B53,'Indicator Data (national)'!$B$5:$BB$14,45,FALSE)&lt;X$149,0,10-(X$150-VLOOKUP($B53,'Indicator Data (national)'!$B$5:$BB$14,45,FALSE))/(X$150-X$149)*10)))</f>
        <v>6.2222222222222223</v>
      </c>
      <c r="Y53" s="2">
        <f>IF(VLOOKUP($B53,'Indicator Data (national)'!$B$5:$BB$14,46,FALSE)="No data","x",IF(VLOOKUP($B53,'Indicator Data (national)'!$B$5:$BB$14,46,FALSE)&gt;Y$150,10,IF(VLOOKUP($B53,'Indicator Data (national)'!$B$5:$BB$14,46,FALSE)&lt;Y$149,0,(Y$150-VLOOKUP($B53,'Indicator Data (national)'!$B$5:$BB$14,46,FALSE))/(Y$150-Y$149)*10)))</f>
        <v>8</v>
      </c>
      <c r="Z53" s="156">
        <f>IF(VLOOKUP($B53,'Indicator Data (national)'!$B$5:$BB$14,48,FALSE)="No data","x",VLOOKUP($B53,'Indicator Data (national)'!$B$5:$BB$14,47,FALSE)*VLOOKUP($B53,'Indicator Data (national)'!$B$5:$BB$14,48,FALSE))</f>
        <v>9.814910769612494</v>
      </c>
      <c r="AA53" s="2">
        <f t="shared" si="11"/>
        <v>9.0185089230387501</v>
      </c>
      <c r="AB53" s="3">
        <f t="shared" si="12"/>
        <v>7.7216164848659146</v>
      </c>
      <c r="AC53" s="2">
        <f>IF(VLOOKUP($B53,'Indicator Data (national)'!$B$5:$BB$14,49,FALSE)="No data","x",IF(VLOOKUP($B53,'Indicator Data (national)'!$B$5:$BB$14,49,FALSE)&gt;AC$150,0,IF(VLOOKUP($B53,'Indicator Data (national)'!$B$5:$BB$14,49,FALSE)&lt;AC$149,10,(AC$150-VLOOKUP($B53,'Indicator Data (national)'!$B$5:$BB$14,49,FALSE))/(AC$150-AC$149)*10)))</f>
        <v>8.6440000000000001</v>
      </c>
      <c r="AD53" s="2">
        <f>IF(VLOOKUP($B53,'Indicator Data (national)'!$B$5:$BB$14,50,FALSE)="No data","x",IF(VLOOKUP($B53,'Indicator Data (national)'!$B$5:$BB$14,50,FALSE)&gt;AD$150,0,IF(VLOOKUP($B53,'Indicator Data (national)'!$B$5:$BB$14,50,FALSE)&lt;AD$149,10,(AD$150-VLOOKUP($B53,'Indicator Data (national)'!$B$5:$BB$14,50,FALSE))/(AD$150-AD$149)*10)))</f>
        <v>8.6471999999999998</v>
      </c>
      <c r="AE53" s="3">
        <f t="shared" si="13"/>
        <v>8.6456</v>
      </c>
      <c r="AF53" s="2">
        <f>IF(VLOOKUP($B53,'Indicator Data (national)'!$B$5:$BB$14,51,FALSE)="No data","x",IF(VLOOKUP($B53,'Indicator Data (national)'!$B$5:$BB$14,51,FALSE)&gt;AF$150,0,IF(VLOOKUP($B53,'Indicator Data (national)'!$B$5:$BB$14,51,FALSE)&lt;AF$149,10,(AF$150-VLOOKUP($B53,'Indicator Data (national)'!$B$5:$BB$14,51,FALSE))/(AF$150-AF$149)*10)))</f>
        <v>0</v>
      </c>
      <c r="AG53" s="2">
        <f>IF(VLOOKUP($B53,'Indicator Data (national)'!$B$5:$BB$14,52,FALSE)="No data","x",IF(VLOOKUP($B53,'Indicator Data (national)'!$B$5:$BB$14,52,FALSE)&gt;AG$150,0,IF(VLOOKUP($B53,'Indicator Data (national)'!$B$5:$BB$14,52,FALSE)&lt;AG$149,10,(AG$150-VLOOKUP($B53,'Indicator Data (national)'!$B$5:$BB$14,52,FALSE))/(AG$150-AG$149)*10)))</f>
        <v>0</v>
      </c>
      <c r="AH53" s="2">
        <f>IF(VLOOKUP($B53,'Indicator Data (national)'!$B$5:$BB$14,53,FALSE)="No data","x",IF(VLOOKUP($B53,'Indicator Data (national)'!$B$5:$BB$14,53,FALSE)&gt;AH$150,0,IF(VLOOKUP($B53,'Indicator Data (national)'!$B$5:$BB$14,53,FALSE)&lt;AH$149,10,(AH$150-VLOOKUP($B53,'Indicator Data (national)'!$B$5:$BB$14,53,FALSE))/(AH$150-AH$149)*10)))</f>
        <v>5.1780682960214941</v>
      </c>
      <c r="AI53" s="3">
        <f t="shared" si="14"/>
        <v>1.726022765340498</v>
      </c>
      <c r="AJ53" s="5">
        <f t="shared" si="17"/>
        <v>6.0310797500688045</v>
      </c>
    </row>
    <row r="54" spans="1:36" s="11" customFormat="1" x14ac:dyDescent="0.25">
      <c r="A54" s="16" t="s">
        <v>421</v>
      </c>
      <c r="B54" s="11" t="s">
        <v>576</v>
      </c>
      <c r="C54" s="126" t="s">
        <v>646</v>
      </c>
      <c r="D54" s="120">
        <f>(VLOOKUP($B54,'Indicator Data (national)'!$B$5:$AP$14,39,FALSE)+VLOOKUP($B54,'Indicator Data (national)'!$B$5:$AP$14,40,FALSE)+VLOOKUP($B54,'Indicator Data (national)'!$B$5:$AP$14,41,FALSE))/VLOOKUP($B54,'Indicator Data (national)'!$B$5:$AP$14,38,FALSE)*1000000</f>
        <v>0.3850863279901553</v>
      </c>
      <c r="E54" s="2">
        <f t="shared" si="3"/>
        <v>8.0745683600492235</v>
      </c>
      <c r="F54" s="3">
        <f t="shared" si="4"/>
        <v>8.0745683600492235</v>
      </c>
      <c r="G54" s="2">
        <f>IF(VLOOKUP($B54,'Indicator Data (national)'!$B$5:$AQ$14,30,FALSE)="No data","x",IF(VLOOKUP($B54,'Indicator Data (national)'!$B$5:$AQ$14,30,FALSE)&gt;G$150,10,IF(VLOOKUP($B54,'Indicator Data (national)'!$B$5:$AQ$14,30,FALSE)&lt;G$149,0,(G$150-VLOOKUP($B54,'Indicator Data (national)'!$B$5:$AQ$14,30,FALSE))/(G$150-G$149)*10)))</f>
        <v>7.5</v>
      </c>
      <c r="H54" s="2">
        <f>IF(VLOOKUP($B54,'Indicator Data (national)'!$B$5:$AQ$14,29,FALSE)="No data","x",IF(VLOOKUP($B54,'Indicator Data (national)'!$B$5:$AQ$14,29,FALSE)&gt;H$150,10,IF(VLOOKUP($B54,'Indicator Data (national)'!$B$5:$AQ$14,29,FALSE)&lt;H$149,0,(H$150-VLOOKUP($B54,'Indicator Data (national)'!$B$5:$AQ$14,29,FALSE))/(H$150-H$149)*10)))</f>
        <v>5.9728583693504333</v>
      </c>
      <c r="I54" s="3">
        <f t="shared" si="5"/>
        <v>6.7364291846752167</v>
      </c>
      <c r="J54" s="5">
        <f t="shared" si="6"/>
        <v>7.4054987723622201</v>
      </c>
      <c r="K54" s="2">
        <f>IF(VLOOKUP($B54,'Indicator Data (national)'!$B$5:$AQ$14,33,FALSE)="No data","x",IF(VLOOKUP($B54,'Indicator Data (national)'!$B$5:$AQ$14,33,FALSE)&gt;K$150,10,IF(VLOOKUP($B54,'Indicator Data (national)'!$B$5:$AQ$14,33,FALSE)&lt;K$149,0,(K$150-VLOOKUP($B54,'Indicator Data (national)'!$B$5:$AQ$14,33,FALSE))/(K$150-K$149)*10)))</f>
        <v>2.2000000000000002</v>
      </c>
      <c r="L54" s="2">
        <f>IF(VLOOKUP($B54,'Indicator Data (national)'!$B$5:$AQ$14,34,FALSE)="No data","x",IF(VLOOKUP($B54,'Indicator Data (national)'!$B$5:$AQ$14,34,FALSE)&gt;L$150,10,IF(VLOOKUP($B54,'Indicator Data (national)'!$B$5:$AQ$14,34,FALSE)&lt;L$149,0,(L$150-VLOOKUP($B54,'Indicator Data (national)'!$B$5:$AQ$14,34,FALSE))/(L$150-L$149)*10)))</f>
        <v>2.8235954477835907</v>
      </c>
      <c r="M54" s="3">
        <f t="shared" si="7"/>
        <v>2.5117977238917955</v>
      </c>
      <c r="N54" s="2">
        <f>IF(VLOOKUP($B54,'Indicator Data (national)'!$B$5:$AS$14,44,FALSE)="No data","x",IF(VLOOKUP($B54,'Indicator Data (national)'!$B$5:$AS$14,44,FALSE)&gt;N$150,10,IF(VLOOKUP($B54,'Indicator Data (national)'!$B$5:$AS$14,44,FALSE)&lt;N$149,0,10-(N$150-VLOOKUP($B54,'Indicator Data (national)'!$B$5:$AS$14,44,FALSE))/(N$150-N$149)*10)))</f>
        <v>3.9000000000000004</v>
      </c>
      <c r="O54" s="2">
        <f>IF(VLOOKUP($B54,'Indicator Data (national)'!$B$5:$AS$14,42,FALSE)="No data","x",IF(VLOOKUP($B54,'Indicator Data (national)'!$B$5:$AS$14,42,FALSE)&gt;O$150,0,IF(VLOOKUP($B54,'Indicator Data (national)'!$B$5:$AS$14,42,FALSE)&lt;O$149,10,(O$150-VLOOKUP($B54,'Indicator Data (national)'!$B$5:$AS$14,42,FALSE))/(O$150-O$149)*10)))</f>
        <v>9.3507578421680311</v>
      </c>
      <c r="P54" s="158">
        <f t="shared" si="8"/>
        <v>6.6253789210840157</v>
      </c>
      <c r="Q54" s="2">
        <f>IF(VLOOKUP($B54,'Indicator Data (national)'!$B$5:$Q$14,16,FALSE)="No data","x",IF(VLOOKUP($B54,'Indicator Data (national)'!$B$5:$Q$14,16,FALSE)&gt;Q$150,0,IF(VLOOKUP($B54,'Indicator Data (national)'!$B$5:$Q$14,16,FALSE)&lt;Q$149,10,(Q$150-VLOOKUP($B54,'Indicator Data (national)'!$B$5:$Q$14,16,FALSE))/(Q$150-Q$149)*10)))</f>
        <v>8.1999999999999993</v>
      </c>
      <c r="R54" s="158">
        <f t="shared" si="9"/>
        <v>8.1999999999999993</v>
      </c>
      <c r="S54" s="3">
        <f t="shared" si="15"/>
        <v>7.4126894605420075</v>
      </c>
      <c r="T54" s="2">
        <f>IF(VLOOKUP($B54,'Indicator Data (national)'!$B$5:$BC$14,43,FALSE)="No data","x",IF(VLOOKUP($B54,'Indicator Data (national)'!$B$5:$BC$14,43,FALSE)&gt;T$150,10,IF(VLOOKUP($B54,'Indicator Data (national)'!$B$5:$BC$14,43,FALSE)&lt;T$149,0,(T$150-VLOOKUP($B54,'Indicator Data (national)'!$B$5:$BC$14,43,FALSE))/(T$150-T$149)*10)))</f>
        <v>9.8647237723687979</v>
      </c>
      <c r="U54" s="3">
        <f t="shared" si="10"/>
        <v>9.8647237723687979</v>
      </c>
      <c r="V54" s="5">
        <f t="shared" si="16"/>
        <v>6.5964036522675329</v>
      </c>
      <c r="W54" s="2">
        <f>IF(VLOOKUP($B54,'Indicator Data (national)'!$B$5:$AS$14,37,FALSE)="No data","x",IF(VLOOKUP($B54,'Indicator Data (national)'!$B$5:$AS$14,37,FALSE)&gt;W$150,10,IF(VLOOKUP($B54,'Indicator Data (national)'!$B$5:$AS$14,37,FALSE)&lt;W$149,0,(LOG(W$150)-LOG(VLOOKUP($B54,'Indicator Data (national)'!$B$5:$AS$14,37,FALSE)))/(LOG(W$150)-LOG(W$149))*10)))</f>
        <v>7.6457347942026841</v>
      </c>
      <c r="X54" s="2">
        <f>IF(VLOOKUP($B54,'Indicator Data (national)'!$B$5:$BB$14,45,FALSE)="No data","x",IF(VLOOKUP($B54,'Indicator Data (national)'!$B$5:$BB$14,45,FALSE)&gt;X$150,10,IF(VLOOKUP($B54,'Indicator Data (national)'!$B$5:$BB$14,45,FALSE)&lt;X$149,0,10-(X$150-VLOOKUP($B54,'Indicator Data (national)'!$B$5:$BB$14,45,FALSE))/(X$150-X$149)*10)))</f>
        <v>6.2222222222222223</v>
      </c>
      <c r="Y54" s="2">
        <f>IF(VLOOKUP($B54,'Indicator Data (national)'!$B$5:$BB$14,46,FALSE)="No data","x",IF(VLOOKUP($B54,'Indicator Data (national)'!$B$5:$BB$14,46,FALSE)&gt;Y$150,10,IF(VLOOKUP($B54,'Indicator Data (national)'!$B$5:$BB$14,46,FALSE)&lt;Y$149,0,(Y$150-VLOOKUP($B54,'Indicator Data (national)'!$B$5:$BB$14,46,FALSE))/(Y$150-Y$149)*10)))</f>
        <v>8</v>
      </c>
      <c r="Z54" s="156">
        <f>IF(VLOOKUP($B54,'Indicator Data (national)'!$B$5:$BB$14,48,FALSE)="No data","x",VLOOKUP($B54,'Indicator Data (national)'!$B$5:$BB$14,47,FALSE)*VLOOKUP($B54,'Indicator Data (national)'!$B$5:$BB$14,48,FALSE))</f>
        <v>9.814910769612494</v>
      </c>
      <c r="AA54" s="2">
        <f t="shared" si="11"/>
        <v>9.0185089230387501</v>
      </c>
      <c r="AB54" s="3">
        <f t="shared" si="12"/>
        <v>7.7216164848659146</v>
      </c>
      <c r="AC54" s="2">
        <f>IF(VLOOKUP($B54,'Indicator Data (national)'!$B$5:$BB$14,49,FALSE)="No data","x",IF(VLOOKUP($B54,'Indicator Data (national)'!$B$5:$BB$14,49,FALSE)&gt;AC$150,0,IF(VLOOKUP($B54,'Indicator Data (national)'!$B$5:$BB$14,49,FALSE)&lt;AC$149,10,(AC$150-VLOOKUP($B54,'Indicator Data (national)'!$B$5:$BB$14,49,FALSE))/(AC$150-AC$149)*10)))</f>
        <v>8.6440000000000001</v>
      </c>
      <c r="AD54" s="2">
        <f>IF(VLOOKUP($B54,'Indicator Data (national)'!$B$5:$BB$14,50,FALSE)="No data","x",IF(VLOOKUP($B54,'Indicator Data (national)'!$B$5:$BB$14,50,FALSE)&gt;AD$150,0,IF(VLOOKUP($B54,'Indicator Data (national)'!$B$5:$BB$14,50,FALSE)&lt;AD$149,10,(AD$150-VLOOKUP($B54,'Indicator Data (national)'!$B$5:$BB$14,50,FALSE))/(AD$150-AD$149)*10)))</f>
        <v>8.6471999999999998</v>
      </c>
      <c r="AE54" s="3">
        <f t="shared" si="13"/>
        <v>8.6456</v>
      </c>
      <c r="AF54" s="2">
        <f>IF(VLOOKUP($B54,'Indicator Data (national)'!$B$5:$BB$14,51,FALSE)="No data","x",IF(VLOOKUP($B54,'Indicator Data (national)'!$B$5:$BB$14,51,FALSE)&gt;AF$150,0,IF(VLOOKUP($B54,'Indicator Data (national)'!$B$5:$BB$14,51,FALSE)&lt;AF$149,10,(AF$150-VLOOKUP($B54,'Indicator Data (national)'!$B$5:$BB$14,51,FALSE))/(AF$150-AF$149)*10)))</f>
        <v>0</v>
      </c>
      <c r="AG54" s="2">
        <f>IF(VLOOKUP($B54,'Indicator Data (national)'!$B$5:$BB$14,52,FALSE)="No data","x",IF(VLOOKUP($B54,'Indicator Data (national)'!$B$5:$BB$14,52,FALSE)&gt;AG$150,0,IF(VLOOKUP($B54,'Indicator Data (national)'!$B$5:$BB$14,52,FALSE)&lt;AG$149,10,(AG$150-VLOOKUP($B54,'Indicator Data (national)'!$B$5:$BB$14,52,FALSE))/(AG$150-AG$149)*10)))</f>
        <v>0</v>
      </c>
      <c r="AH54" s="2">
        <f>IF(VLOOKUP($B54,'Indicator Data (national)'!$B$5:$BB$14,53,FALSE)="No data","x",IF(VLOOKUP($B54,'Indicator Data (national)'!$B$5:$BB$14,53,FALSE)&gt;AH$150,0,IF(VLOOKUP($B54,'Indicator Data (national)'!$B$5:$BB$14,53,FALSE)&lt;AH$149,10,(AH$150-VLOOKUP($B54,'Indicator Data (national)'!$B$5:$BB$14,53,FALSE))/(AH$150-AH$149)*10)))</f>
        <v>5.1780682960214941</v>
      </c>
      <c r="AI54" s="3">
        <f t="shared" si="14"/>
        <v>1.726022765340498</v>
      </c>
      <c r="AJ54" s="5">
        <f t="shared" si="17"/>
        <v>6.0310797500688045</v>
      </c>
    </row>
    <row r="55" spans="1:36" s="11" customFormat="1" x14ac:dyDescent="0.25">
      <c r="A55" s="16" t="s">
        <v>422</v>
      </c>
      <c r="B55" s="11" t="s">
        <v>576</v>
      </c>
      <c r="C55" s="126" t="s">
        <v>647</v>
      </c>
      <c r="D55" s="120">
        <f>(VLOOKUP($B55,'Indicator Data (national)'!$B$5:$AP$14,39,FALSE)+VLOOKUP($B55,'Indicator Data (national)'!$B$5:$AP$14,40,FALSE)+VLOOKUP($B55,'Indicator Data (national)'!$B$5:$AP$14,41,FALSE))/VLOOKUP($B55,'Indicator Data (national)'!$B$5:$AP$14,38,FALSE)*1000000</f>
        <v>0.3850863279901553</v>
      </c>
      <c r="E55" s="2">
        <f t="shared" si="3"/>
        <v>8.0745683600492235</v>
      </c>
      <c r="F55" s="3">
        <f t="shared" si="4"/>
        <v>8.0745683600492235</v>
      </c>
      <c r="G55" s="2">
        <f>IF(VLOOKUP($B55,'Indicator Data (national)'!$B$5:$AQ$14,30,FALSE)="No data","x",IF(VLOOKUP($B55,'Indicator Data (national)'!$B$5:$AQ$14,30,FALSE)&gt;G$150,10,IF(VLOOKUP($B55,'Indicator Data (national)'!$B$5:$AQ$14,30,FALSE)&lt;G$149,0,(G$150-VLOOKUP($B55,'Indicator Data (national)'!$B$5:$AQ$14,30,FALSE))/(G$150-G$149)*10)))</f>
        <v>7.5</v>
      </c>
      <c r="H55" s="2">
        <f>IF(VLOOKUP($B55,'Indicator Data (national)'!$B$5:$AQ$14,29,FALSE)="No data","x",IF(VLOOKUP($B55,'Indicator Data (national)'!$B$5:$AQ$14,29,FALSE)&gt;H$150,10,IF(VLOOKUP($B55,'Indicator Data (national)'!$B$5:$AQ$14,29,FALSE)&lt;H$149,0,(H$150-VLOOKUP($B55,'Indicator Data (national)'!$B$5:$AQ$14,29,FALSE))/(H$150-H$149)*10)))</f>
        <v>5.9728583693504333</v>
      </c>
      <c r="I55" s="3">
        <f t="shared" si="5"/>
        <v>6.7364291846752167</v>
      </c>
      <c r="J55" s="5">
        <f t="shared" si="6"/>
        <v>7.4054987723622201</v>
      </c>
      <c r="K55" s="2">
        <f>IF(VLOOKUP($B55,'Indicator Data (national)'!$B$5:$AQ$14,33,FALSE)="No data","x",IF(VLOOKUP($B55,'Indicator Data (national)'!$B$5:$AQ$14,33,FALSE)&gt;K$150,10,IF(VLOOKUP($B55,'Indicator Data (national)'!$B$5:$AQ$14,33,FALSE)&lt;K$149,0,(K$150-VLOOKUP($B55,'Indicator Data (national)'!$B$5:$AQ$14,33,FALSE))/(K$150-K$149)*10)))</f>
        <v>2.2000000000000002</v>
      </c>
      <c r="L55" s="2">
        <f>IF(VLOOKUP($B55,'Indicator Data (national)'!$B$5:$AQ$14,34,FALSE)="No data","x",IF(VLOOKUP($B55,'Indicator Data (national)'!$B$5:$AQ$14,34,FALSE)&gt;L$150,10,IF(VLOOKUP($B55,'Indicator Data (national)'!$B$5:$AQ$14,34,FALSE)&lt;L$149,0,(L$150-VLOOKUP($B55,'Indicator Data (national)'!$B$5:$AQ$14,34,FALSE))/(L$150-L$149)*10)))</f>
        <v>2.8235954477835907</v>
      </c>
      <c r="M55" s="3">
        <f t="shared" si="7"/>
        <v>2.5117977238917955</v>
      </c>
      <c r="N55" s="2">
        <f>IF(VLOOKUP($B55,'Indicator Data (national)'!$B$5:$AS$14,44,FALSE)="No data","x",IF(VLOOKUP($B55,'Indicator Data (national)'!$B$5:$AS$14,44,FALSE)&gt;N$150,10,IF(VLOOKUP($B55,'Indicator Data (national)'!$B$5:$AS$14,44,FALSE)&lt;N$149,0,10-(N$150-VLOOKUP($B55,'Indicator Data (national)'!$B$5:$AS$14,44,FALSE))/(N$150-N$149)*10)))</f>
        <v>3.9000000000000004</v>
      </c>
      <c r="O55" s="2">
        <f>IF(VLOOKUP($B55,'Indicator Data (national)'!$B$5:$AS$14,42,FALSE)="No data","x",IF(VLOOKUP($B55,'Indicator Data (national)'!$B$5:$AS$14,42,FALSE)&gt;O$150,0,IF(VLOOKUP($B55,'Indicator Data (national)'!$B$5:$AS$14,42,FALSE)&lt;O$149,10,(O$150-VLOOKUP($B55,'Indicator Data (national)'!$B$5:$AS$14,42,FALSE))/(O$150-O$149)*10)))</f>
        <v>9.3507578421680311</v>
      </c>
      <c r="P55" s="158">
        <f t="shared" si="8"/>
        <v>6.6253789210840157</v>
      </c>
      <c r="Q55" s="2">
        <f>IF(VLOOKUP($B55,'Indicator Data (national)'!$B$5:$Q$14,16,FALSE)="No data","x",IF(VLOOKUP($B55,'Indicator Data (national)'!$B$5:$Q$14,16,FALSE)&gt;Q$150,0,IF(VLOOKUP($B55,'Indicator Data (national)'!$B$5:$Q$14,16,FALSE)&lt;Q$149,10,(Q$150-VLOOKUP($B55,'Indicator Data (national)'!$B$5:$Q$14,16,FALSE))/(Q$150-Q$149)*10)))</f>
        <v>8.1999999999999993</v>
      </c>
      <c r="R55" s="158">
        <f t="shared" si="9"/>
        <v>8.1999999999999993</v>
      </c>
      <c r="S55" s="3">
        <f t="shared" si="15"/>
        <v>7.4126894605420075</v>
      </c>
      <c r="T55" s="2">
        <f>IF(VLOOKUP($B55,'Indicator Data (national)'!$B$5:$BC$14,43,FALSE)="No data","x",IF(VLOOKUP($B55,'Indicator Data (national)'!$B$5:$BC$14,43,FALSE)&gt;T$150,10,IF(VLOOKUP($B55,'Indicator Data (national)'!$B$5:$BC$14,43,FALSE)&lt;T$149,0,(T$150-VLOOKUP($B55,'Indicator Data (national)'!$B$5:$BC$14,43,FALSE))/(T$150-T$149)*10)))</f>
        <v>9.8647237723687979</v>
      </c>
      <c r="U55" s="3">
        <f t="shared" si="10"/>
        <v>9.8647237723687979</v>
      </c>
      <c r="V55" s="5">
        <f t="shared" si="16"/>
        <v>6.5964036522675329</v>
      </c>
      <c r="W55" s="2">
        <f>IF(VLOOKUP($B55,'Indicator Data (national)'!$B$5:$AS$14,37,FALSE)="No data","x",IF(VLOOKUP($B55,'Indicator Data (national)'!$B$5:$AS$14,37,FALSE)&gt;W$150,10,IF(VLOOKUP($B55,'Indicator Data (national)'!$B$5:$AS$14,37,FALSE)&lt;W$149,0,(LOG(W$150)-LOG(VLOOKUP($B55,'Indicator Data (national)'!$B$5:$AS$14,37,FALSE)))/(LOG(W$150)-LOG(W$149))*10)))</f>
        <v>7.6457347942026841</v>
      </c>
      <c r="X55" s="2">
        <f>IF(VLOOKUP($B55,'Indicator Data (national)'!$B$5:$BB$14,45,FALSE)="No data","x",IF(VLOOKUP($B55,'Indicator Data (national)'!$B$5:$BB$14,45,FALSE)&gt;X$150,10,IF(VLOOKUP($B55,'Indicator Data (national)'!$B$5:$BB$14,45,FALSE)&lt;X$149,0,10-(X$150-VLOOKUP($B55,'Indicator Data (national)'!$B$5:$BB$14,45,FALSE))/(X$150-X$149)*10)))</f>
        <v>6.2222222222222223</v>
      </c>
      <c r="Y55" s="2">
        <f>IF(VLOOKUP($B55,'Indicator Data (national)'!$B$5:$BB$14,46,FALSE)="No data","x",IF(VLOOKUP($B55,'Indicator Data (national)'!$B$5:$BB$14,46,FALSE)&gt;Y$150,10,IF(VLOOKUP($B55,'Indicator Data (national)'!$B$5:$BB$14,46,FALSE)&lt;Y$149,0,(Y$150-VLOOKUP($B55,'Indicator Data (national)'!$B$5:$BB$14,46,FALSE))/(Y$150-Y$149)*10)))</f>
        <v>8</v>
      </c>
      <c r="Z55" s="156">
        <f>IF(VLOOKUP($B55,'Indicator Data (national)'!$B$5:$BB$14,48,FALSE)="No data","x",VLOOKUP($B55,'Indicator Data (national)'!$B$5:$BB$14,47,FALSE)*VLOOKUP($B55,'Indicator Data (national)'!$B$5:$BB$14,48,FALSE))</f>
        <v>9.814910769612494</v>
      </c>
      <c r="AA55" s="2">
        <f t="shared" si="11"/>
        <v>9.0185089230387501</v>
      </c>
      <c r="AB55" s="3">
        <f t="shared" si="12"/>
        <v>7.7216164848659146</v>
      </c>
      <c r="AC55" s="2">
        <f>IF(VLOOKUP($B55,'Indicator Data (national)'!$B$5:$BB$14,49,FALSE)="No data","x",IF(VLOOKUP($B55,'Indicator Data (national)'!$B$5:$BB$14,49,FALSE)&gt;AC$150,0,IF(VLOOKUP($B55,'Indicator Data (national)'!$B$5:$BB$14,49,FALSE)&lt;AC$149,10,(AC$150-VLOOKUP($B55,'Indicator Data (national)'!$B$5:$BB$14,49,FALSE))/(AC$150-AC$149)*10)))</f>
        <v>8.6440000000000001</v>
      </c>
      <c r="AD55" s="2">
        <f>IF(VLOOKUP($B55,'Indicator Data (national)'!$B$5:$BB$14,50,FALSE)="No data","x",IF(VLOOKUP($B55,'Indicator Data (national)'!$B$5:$BB$14,50,FALSE)&gt;AD$150,0,IF(VLOOKUP($B55,'Indicator Data (national)'!$B$5:$BB$14,50,FALSE)&lt;AD$149,10,(AD$150-VLOOKUP($B55,'Indicator Data (national)'!$B$5:$BB$14,50,FALSE))/(AD$150-AD$149)*10)))</f>
        <v>8.6471999999999998</v>
      </c>
      <c r="AE55" s="3">
        <f t="shared" si="13"/>
        <v>8.6456</v>
      </c>
      <c r="AF55" s="2">
        <f>IF(VLOOKUP($B55,'Indicator Data (national)'!$B$5:$BB$14,51,FALSE)="No data","x",IF(VLOOKUP($B55,'Indicator Data (national)'!$B$5:$BB$14,51,FALSE)&gt;AF$150,0,IF(VLOOKUP($B55,'Indicator Data (national)'!$B$5:$BB$14,51,FALSE)&lt;AF$149,10,(AF$150-VLOOKUP($B55,'Indicator Data (national)'!$B$5:$BB$14,51,FALSE))/(AF$150-AF$149)*10)))</f>
        <v>0</v>
      </c>
      <c r="AG55" s="2">
        <f>IF(VLOOKUP($B55,'Indicator Data (national)'!$B$5:$BB$14,52,FALSE)="No data","x",IF(VLOOKUP($B55,'Indicator Data (national)'!$B$5:$BB$14,52,FALSE)&gt;AG$150,0,IF(VLOOKUP($B55,'Indicator Data (national)'!$B$5:$BB$14,52,FALSE)&lt;AG$149,10,(AG$150-VLOOKUP($B55,'Indicator Data (national)'!$B$5:$BB$14,52,FALSE))/(AG$150-AG$149)*10)))</f>
        <v>0</v>
      </c>
      <c r="AH55" s="2">
        <f>IF(VLOOKUP($B55,'Indicator Data (national)'!$B$5:$BB$14,53,FALSE)="No data","x",IF(VLOOKUP($B55,'Indicator Data (national)'!$B$5:$BB$14,53,FALSE)&gt;AH$150,0,IF(VLOOKUP($B55,'Indicator Data (national)'!$B$5:$BB$14,53,FALSE)&lt;AH$149,10,(AH$150-VLOOKUP($B55,'Indicator Data (national)'!$B$5:$BB$14,53,FALSE))/(AH$150-AH$149)*10)))</f>
        <v>5.1780682960214941</v>
      </c>
      <c r="AI55" s="3">
        <f t="shared" si="14"/>
        <v>1.726022765340498</v>
      </c>
      <c r="AJ55" s="5">
        <f t="shared" si="17"/>
        <v>6.0310797500688045</v>
      </c>
    </row>
    <row r="56" spans="1:36" s="11" customFormat="1" x14ac:dyDescent="0.25">
      <c r="A56" s="16" t="s">
        <v>423</v>
      </c>
      <c r="B56" s="11" t="s">
        <v>576</v>
      </c>
      <c r="C56" s="126" t="s">
        <v>648</v>
      </c>
      <c r="D56" s="120">
        <f>(VLOOKUP($B56,'Indicator Data (national)'!$B$5:$AP$14,39,FALSE)+VLOOKUP($B56,'Indicator Data (national)'!$B$5:$AP$14,40,FALSE)+VLOOKUP($B56,'Indicator Data (national)'!$B$5:$AP$14,41,FALSE))/VLOOKUP($B56,'Indicator Data (national)'!$B$5:$AP$14,38,FALSE)*1000000</f>
        <v>0.3850863279901553</v>
      </c>
      <c r="E56" s="2">
        <f t="shared" si="3"/>
        <v>8.0745683600492235</v>
      </c>
      <c r="F56" s="3">
        <f t="shared" si="4"/>
        <v>8.0745683600492235</v>
      </c>
      <c r="G56" s="2">
        <f>IF(VLOOKUP($B56,'Indicator Data (national)'!$B$5:$AQ$14,30,FALSE)="No data","x",IF(VLOOKUP($B56,'Indicator Data (national)'!$B$5:$AQ$14,30,FALSE)&gt;G$150,10,IF(VLOOKUP($B56,'Indicator Data (national)'!$B$5:$AQ$14,30,FALSE)&lt;G$149,0,(G$150-VLOOKUP($B56,'Indicator Data (national)'!$B$5:$AQ$14,30,FALSE))/(G$150-G$149)*10)))</f>
        <v>7.5</v>
      </c>
      <c r="H56" s="2">
        <f>IF(VLOOKUP($B56,'Indicator Data (national)'!$B$5:$AQ$14,29,FALSE)="No data","x",IF(VLOOKUP($B56,'Indicator Data (national)'!$B$5:$AQ$14,29,FALSE)&gt;H$150,10,IF(VLOOKUP($B56,'Indicator Data (national)'!$B$5:$AQ$14,29,FALSE)&lt;H$149,0,(H$150-VLOOKUP($B56,'Indicator Data (national)'!$B$5:$AQ$14,29,FALSE))/(H$150-H$149)*10)))</f>
        <v>5.9728583693504333</v>
      </c>
      <c r="I56" s="3">
        <f t="shared" si="5"/>
        <v>6.7364291846752167</v>
      </c>
      <c r="J56" s="5">
        <f t="shared" si="6"/>
        <v>7.4054987723622201</v>
      </c>
      <c r="K56" s="2">
        <f>IF(VLOOKUP($B56,'Indicator Data (national)'!$B$5:$AQ$14,33,FALSE)="No data","x",IF(VLOOKUP($B56,'Indicator Data (national)'!$B$5:$AQ$14,33,FALSE)&gt;K$150,10,IF(VLOOKUP($B56,'Indicator Data (national)'!$B$5:$AQ$14,33,FALSE)&lt;K$149,0,(K$150-VLOOKUP($B56,'Indicator Data (national)'!$B$5:$AQ$14,33,FALSE))/(K$150-K$149)*10)))</f>
        <v>2.2000000000000002</v>
      </c>
      <c r="L56" s="2">
        <f>IF(VLOOKUP($B56,'Indicator Data (national)'!$B$5:$AQ$14,34,FALSE)="No data","x",IF(VLOOKUP($B56,'Indicator Data (national)'!$B$5:$AQ$14,34,FALSE)&gt;L$150,10,IF(VLOOKUP($B56,'Indicator Data (national)'!$B$5:$AQ$14,34,FALSE)&lt;L$149,0,(L$150-VLOOKUP($B56,'Indicator Data (national)'!$B$5:$AQ$14,34,FALSE))/(L$150-L$149)*10)))</f>
        <v>2.8235954477835907</v>
      </c>
      <c r="M56" s="3">
        <f t="shared" si="7"/>
        <v>2.5117977238917955</v>
      </c>
      <c r="N56" s="2">
        <f>IF(VLOOKUP($B56,'Indicator Data (national)'!$B$5:$AS$14,44,FALSE)="No data","x",IF(VLOOKUP($B56,'Indicator Data (national)'!$B$5:$AS$14,44,FALSE)&gt;N$150,10,IF(VLOOKUP($B56,'Indicator Data (national)'!$B$5:$AS$14,44,FALSE)&lt;N$149,0,10-(N$150-VLOOKUP($B56,'Indicator Data (national)'!$B$5:$AS$14,44,FALSE))/(N$150-N$149)*10)))</f>
        <v>3.9000000000000004</v>
      </c>
      <c r="O56" s="2">
        <f>IF(VLOOKUP($B56,'Indicator Data (national)'!$B$5:$AS$14,42,FALSE)="No data","x",IF(VLOOKUP($B56,'Indicator Data (national)'!$B$5:$AS$14,42,FALSE)&gt;O$150,0,IF(VLOOKUP($B56,'Indicator Data (national)'!$B$5:$AS$14,42,FALSE)&lt;O$149,10,(O$150-VLOOKUP($B56,'Indicator Data (national)'!$B$5:$AS$14,42,FALSE))/(O$150-O$149)*10)))</f>
        <v>9.3507578421680311</v>
      </c>
      <c r="P56" s="158">
        <f t="shared" si="8"/>
        <v>6.6253789210840157</v>
      </c>
      <c r="Q56" s="2">
        <f>IF(VLOOKUP($B56,'Indicator Data (national)'!$B$5:$Q$14,16,FALSE)="No data","x",IF(VLOOKUP($B56,'Indicator Data (national)'!$B$5:$Q$14,16,FALSE)&gt;Q$150,0,IF(VLOOKUP($B56,'Indicator Data (national)'!$B$5:$Q$14,16,FALSE)&lt;Q$149,10,(Q$150-VLOOKUP($B56,'Indicator Data (national)'!$B$5:$Q$14,16,FALSE))/(Q$150-Q$149)*10)))</f>
        <v>8.1999999999999993</v>
      </c>
      <c r="R56" s="158">
        <f t="shared" si="9"/>
        <v>8.1999999999999993</v>
      </c>
      <c r="S56" s="3">
        <f t="shared" si="15"/>
        <v>7.4126894605420075</v>
      </c>
      <c r="T56" s="2">
        <f>IF(VLOOKUP($B56,'Indicator Data (national)'!$B$5:$BC$14,43,FALSE)="No data","x",IF(VLOOKUP($B56,'Indicator Data (national)'!$B$5:$BC$14,43,FALSE)&gt;T$150,10,IF(VLOOKUP($B56,'Indicator Data (national)'!$B$5:$BC$14,43,FALSE)&lt;T$149,0,(T$150-VLOOKUP($B56,'Indicator Data (national)'!$B$5:$BC$14,43,FALSE))/(T$150-T$149)*10)))</f>
        <v>9.8647237723687979</v>
      </c>
      <c r="U56" s="3">
        <f t="shared" si="10"/>
        <v>9.8647237723687979</v>
      </c>
      <c r="V56" s="5">
        <f t="shared" si="16"/>
        <v>6.5964036522675329</v>
      </c>
      <c r="W56" s="2">
        <f>IF(VLOOKUP($B56,'Indicator Data (national)'!$B$5:$AS$14,37,FALSE)="No data","x",IF(VLOOKUP($B56,'Indicator Data (national)'!$B$5:$AS$14,37,FALSE)&gt;W$150,10,IF(VLOOKUP($B56,'Indicator Data (national)'!$B$5:$AS$14,37,FALSE)&lt;W$149,0,(LOG(W$150)-LOG(VLOOKUP($B56,'Indicator Data (national)'!$B$5:$AS$14,37,FALSE)))/(LOG(W$150)-LOG(W$149))*10)))</f>
        <v>7.6457347942026841</v>
      </c>
      <c r="X56" s="2">
        <f>IF(VLOOKUP($B56,'Indicator Data (national)'!$B$5:$BB$14,45,FALSE)="No data","x",IF(VLOOKUP($B56,'Indicator Data (national)'!$B$5:$BB$14,45,FALSE)&gt;X$150,10,IF(VLOOKUP($B56,'Indicator Data (national)'!$B$5:$BB$14,45,FALSE)&lt;X$149,0,10-(X$150-VLOOKUP($B56,'Indicator Data (national)'!$B$5:$BB$14,45,FALSE))/(X$150-X$149)*10)))</f>
        <v>6.2222222222222223</v>
      </c>
      <c r="Y56" s="2">
        <f>IF(VLOOKUP($B56,'Indicator Data (national)'!$B$5:$BB$14,46,FALSE)="No data","x",IF(VLOOKUP($B56,'Indicator Data (national)'!$B$5:$BB$14,46,FALSE)&gt;Y$150,10,IF(VLOOKUP($B56,'Indicator Data (national)'!$B$5:$BB$14,46,FALSE)&lt;Y$149,0,(Y$150-VLOOKUP($B56,'Indicator Data (national)'!$B$5:$BB$14,46,FALSE))/(Y$150-Y$149)*10)))</f>
        <v>8</v>
      </c>
      <c r="Z56" s="156">
        <f>IF(VLOOKUP($B56,'Indicator Data (national)'!$B$5:$BB$14,48,FALSE)="No data","x",VLOOKUP($B56,'Indicator Data (national)'!$B$5:$BB$14,47,FALSE)*VLOOKUP($B56,'Indicator Data (national)'!$B$5:$BB$14,48,FALSE))</f>
        <v>9.814910769612494</v>
      </c>
      <c r="AA56" s="2">
        <f t="shared" si="11"/>
        <v>9.0185089230387501</v>
      </c>
      <c r="AB56" s="3">
        <f t="shared" si="12"/>
        <v>7.7216164848659146</v>
      </c>
      <c r="AC56" s="2">
        <f>IF(VLOOKUP($B56,'Indicator Data (national)'!$B$5:$BB$14,49,FALSE)="No data","x",IF(VLOOKUP($B56,'Indicator Data (national)'!$B$5:$BB$14,49,FALSE)&gt;AC$150,0,IF(VLOOKUP($B56,'Indicator Data (national)'!$B$5:$BB$14,49,FALSE)&lt;AC$149,10,(AC$150-VLOOKUP($B56,'Indicator Data (national)'!$B$5:$BB$14,49,FALSE))/(AC$150-AC$149)*10)))</f>
        <v>8.6440000000000001</v>
      </c>
      <c r="AD56" s="2">
        <f>IF(VLOOKUP($B56,'Indicator Data (national)'!$B$5:$BB$14,50,FALSE)="No data","x",IF(VLOOKUP($B56,'Indicator Data (national)'!$B$5:$BB$14,50,FALSE)&gt;AD$150,0,IF(VLOOKUP($B56,'Indicator Data (national)'!$B$5:$BB$14,50,FALSE)&lt;AD$149,10,(AD$150-VLOOKUP($B56,'Indicator Data (national)'!$B$5:$BB$14,50,FALSE))/(AD$150-AD$149)*10)))</f>
        <v>8.6471999999999998</v>
      </c>
      <c r="AE56" s="3">
        <f t="shared" si="13"/>
        <v>8.6456</v>
      </c>
      <c r="AF56" s="2">
        <f>IF(VLOOKUP($B56,'Indicator Data (national)'!$B$5:$BB$14,51,FALSE)="No data","x",IF(VLOOKUP($B56,'Indicator Data (national)'!$B$5:$BB$14,51,FALSE)&gt;AF$150,0,IF(VLOOKUP($B56,'Indicator Data (national)'!$B$5:$BB$14,51,FALSE)&lt;AF$149,10,(AF$150-VLOOKUP($B56,'Indicator Data (national)'!$B$5:$BB$14,51,FALSE))/(AF$150-AF$149)*10)))</f>
        <v>0</v>
      </c>
      <c r="AG56" s="2">
        <f>IF(VLOOKUP($B56,'Indicator Data (national)'!$B$5:$BB$14,52,FALSE)="No data","x",IF(VLOOKUP($B56,'Indicator Data (national)'!$B$5:$BB$14,52,FALSE)&gt;AG$150,0,IF(VLOOKUP($B56,'Indicator Data (national)'!$B$5:$BB$14,52,FALSE)&lt;AG$149,10,(AG$150-VLOOKUP($B56,'Indicator Data (national)'!$B$5:$BB$14,52,FALSE))/(AG$150-AG$149)*10)))</f>
        <v>0</v>
      </c>
      <c r="AH56" s="2">
        <f>IF(VLOOKUP($B56,'Indicator Data (national)'!$B$5:$BB$14,53,FALSE)="No data","x",IF(VLOOKUP($B56,'Indicator Data (national)'!$B$5:$BB$14,53,FALSE)&gt;AH$150,0,IF(VLOOKUP($B56,'Indicator Data (national)'!$B$5:$BB$14,53,FALSE)&lt;AH$149,10,(AH$150-VLOOKUP($B56,'Indicator Data (national)'!$B$5:$BB$14,53,FALSE))/(AH$150-AH$149)*10)))</f>
        <v>5.1780682960214941</v>
      </c>
      <c r="AI56" s="3">
        <f t="shared" si="14"/>
        <v>1.726022765340498</v>
      </c>
      <c r="AJ56" s="5">
        <f t="shared" si="17"/>
        <v>6.0310797500688045</v>
      </c>
    </row>
    <row r="57" spans="1:36" s="11" customFormat="1" x14ac:dyDescent="0.25">
      <c r="A57" s="16" t="s">
        <v>424</v>
      </c>
      <c r="B57" s="11" t="s">
        <v>576</v>
      </c>
      <c r="C57" s="126" t="s">
        <v>649</v>
      </c>
      <c r="D57" s="120">
        <f>(VLOOKUP($B57,'Indicator Data (national)'!$B$5:$AP$14,39,FALSE)+VLOOKUP($B57,'Indicator Data (national)'!$B$5:$AP$14,40,FALSE)+VLOOKUP($B57,'Indicator Data (national)'!$B$5:$AP$14,41,FALSE))/VLOOKUP($B57,'Indicator Data (national)'!$B$5:$AP$14,38,FALSE)*1000000</f>
        <v>0.3850863279901553</v>
      </c>
      <c r="E57" s="2">
        <f t="shared" si="3"/>
        <v>8.0745683600492235</v>
      </c>
      <c r="F57" s="3">
        <f t="shared" si="4"/>
        <v>8.0745683600492235</v>
      </c>
      <c r="G57" s="2">
        <f>IF(VLOOKUP($B57,'Indicator Data (national)'!$B$5:$AQ$14,30,FALSE)="No data","x",IF(VLOOKUP($B57,'Indicator Data (national)'!$B$5:$AQ$14,30,FALSE)&gt;G$150,10,IF(VLOOKUP($B57,'Indicator Data (national)'!$B$5:$AQ$14,30,FALSE)&lt;G$149,0,(G$150-VLOOKUP($B57,'Indicator Data (national)'!$B$5:$AQ$14,30,FALSE))/(G$150-G$149)*10)))</f>
        <v>7.5</v>
      </c>
      <c r="H57" s="2">
        <f>IF(VLOOKUP($B57,'Indicator Data (national)'!$B$5:$AQ$14,29,FALSE)="No data","x",IF(VLOOKUP($B57,'Indicator Data (national)'!$B$5:$AQ$14,29,FALSE)&gt;H$150,10,IF(VLOOKUP($B57,'Indicator Data (national)'!$B$5:$AQ$14,29,FALSE)&lt;H$149,0,(H$150-VLOOKUP($B57,'Indicator Data (national)'!$B$5:$AQ$14,29,FALSE))/(H$150-H$149)*10)))</f>
        <v>5.9728583693504333</v>
      </c>
      <c r="I57" s="3">
        <f t="shared" si="5"/>
        <v>6.7364291846752167</v>
      </c>
      <c r="J57" s="5">
        <f t="shared" si="6"/>
        <v>7.4054987723622201</v>
      </c>
      <c r="K57" s="2">
        <f>IF(VLOOKUP($B57,'Indicator Data (national)'!$B$5:$AQ$14,33,FALSE)="No data","x",IF(VLOOKUP($B57,'Indicator Data (national)'!$B$5:$AQ$14,33,FALSE)&gt;K$150,10,IF(VLOOKUP($B57,'Indicator Data (national)'!$B$5:$AQ$14,33,FALSE)&lt;K$149,0,(K$150-VLOOKUP($B57,'Indicator Data (national)'!$B$5:$AQ$14,33,FALSE))/(K$150-K$149)*10)))</f>
        <v>2.2000000000000002</v>
      </c>
      <c r="L57" s="2">
        <f>IF(VLOOKUP($B57,'Indicator Data (national)'!$B$5:$AQ$14,34,FALSE)="No data","x",IF(VLOOKUP($B57,'Indicator Data (national)'!$B$5:$AQ$14,34,FALSE)&gt;L$150,10,IF(VLOOKUP($B57,'Indicator Data (national)'!$B$5:$AQ$14,34,FALSE)&lt;L$149,0,(L$150-VLOOKUP($B57,'Indicator Data (national)'!$B$5:$AQ$14,34,FALSE))/(L$150-L$149)*10)))</f>
        <v>2.8235954477835907</v>
      </c>
      <c r="M57" s="3">
        <f t="shared" si="7"/>
        <v>2.5117977238917955</v>
      </c>
      <c r="N57" s="2">
        <f>IF(VLOOKUP($B57,'Indicator Data (national)'!$B$5:$AS$14,44,FALSE)="No data","x",IF(VLOOKUP($B57,'Indicator Data (national)'!$B$5:$AS$14,44,FALSE)&gt;N$150,10,IF(VLOOKUP($B57,'Indicator Data (national)'!$B$5:$AS$14,44,FALSE)&lt;N$149,0,10-(N$150-VLOOKUP($B57,'Indicator Data (national)'!$B$5:$AS$14,44,FALSE))/(N$150-N$149)*10)))</f>
        <v>3.9000000000000004</v>
      </c>
      <c r="O57" s="2">
        <f>IF(VLOOKUP($B57,'Indicator Data (national)'!$B$5:$AS$14,42,FALSE)="No data","x",IF(VLOOKUP($B57,'Indicator Data (national)'!$B$5:$AS$14,42,FALSE)&gt;O$150,0,IF(VLOOKUP($B57,'Indicator Data (national)'!$B$5:$AS$14,42,FALSE)&lt;O$149,10,(O$150-VLOOKUP($B57,'Indicator Data (national)'!$B$5:$AS$14,42,FALSE))/(O$150-O$149)*10)))</f>
        <v>9.3507578421680311</v>
      </c>
      <c r="P57" s="158">
        <f t="shared" si="8"/>
        <v>6.6253789210840157</v>
      </c>
      <c r="Q57" s="2">
        <f>IF(VLOOKUP($B57,'Indicator Data (national)'!$B$5:$Q$14,16,FALSE)="No data","x",IF(VLOOKUP($B57,'Indicator Data (national)'!$B$5:$Q$14,16,FALSE)&gt;Q$150,0,IF(VLOOKUP($B57,'Indicator Data (national)'!$B$5:$Q$14,16,FALSE)&lt;Q$149,10,(Q$150-VLOOKUP($B57,'Indicator Data (national)'!$B$5:$Q$14,16,FALSE))/(Q$150-Q$149)*10)))</f>
        <v>8.1999999999999993</v>
      </c>
      <c r="R57" s="158">
        <f t="shared" si="9"/>
        <v>8.1999999999999993</v>
      </c>
      <c r="S57" s="3">
        <f t="shared" si="15"/>
        <v>7.4126894605420075</v>
      </c>
      <c r="T57" s="2">
        <f>IF(VLOOKUP($B57,'Indicator Data (national)'!$B$5:$BC$14,43,FALSE)="No data","x",IF(VLOOKUP($B57,'Indicator Data (national)'!$B$5:$BC$14,43,FALSE)&gt;T$150,10,IF(VLOOKUP($B57,'Indicator Data (national)'!$B$5:$BC$14,43,FALSE)&lt;T$149,0,(T$150-VLOOKUP($B57,'Indicator Data (national)'!$B$5:$BC$14,43,FALSE))/(T$150-T$149)*10)))</f>
        <v>9.8647237723687979</v>
      </c>
      <c r="U57" s="3">
        <f t="shared" si="10"/>
        <v>9.8647237723687979</v>
      </c>
      <c r="V57" s="5">
        <f t="shared" si="16"/>
        <v>6.5964036522675329</v>
      </c>
      <c r="W57" s="2">
        <f>IF(VLOOKUP($B57,'Indicator Data (national)'!$B$5:$AS$14,37,FALSE)="No data","x",IF(VLOOKUP($B57,'Indicator Data (national)'!$B$5:$AS$14,37,FALSE)&gt;W$150,10,IF(VLOOKUP($B57,'Indicator Data (national)'!$B$5:$AS$14,37,FALSE)&lt;W$149,0,(LOG(W$150)-LOG(VLOOKUP($B57,'Indicator Data (national)'!$B$5:$AS$14,37,FALSE)))/(LOG(W$150)-LOG(W$149))*10)))</f>
        <v>7.6457347942026841</v>
      </c>
      <c r="X57" s="2">
        <f>IF(VLOOKUP($B57,'Indicator Data (national)'!$B$5:$BB$14,45,FALSE)="No data","x",IF(VLOOKUP($B57,'Indicator Data (national)'!$B$5:$BB$14,45,FALSE)&gt;X$150,10,IF(VLOOKUP($B57,'Indicator Data (national)'!$B$5:$BB$14,45,FALSE)&lt;X$149,0,10-(X$150-VLOOKUP($B57,'Indicator Data (national)'!$B$5:$BB$14,45,FALSE))/(X$150-X$149)*10)))</f>
        <v>6.2222222222222223</v>
      </c>
      <c r="Y57" s="2">
        <f>IF(VLOOKUP($B57,'Indicator Data (national)'!$B$5:$BB$14,46,FALSE)="No data","x",IF(VLOOKUP($B57,'Indicator Data (national)'!$B$5:$BB$14,46,FALSE)&gt;Y$150,10,IF(VLOOKUP($B57,'Indicator Data (national)'!$B$5:$BB$14,46,FALSE)&lt;Y$149,0,(Y$150-VLOOKUP($B57,'Indicator Data (national)'!$B$5:$BB$14,46,FALSE))/(Y$150-Y$149)*10)))</f>
        <v>8</v>
      </c>
      <c r="Z57" s="156">
        <f>IF(VLOOKUP($B57,'Indicator Data (national)'!$B$5:$BB$14,48,FALSE)="No data","x",VLOOKUP($B57,'Indicator Data (national)'!$B$5:$BB$14,47,FALSE)*VLOOKUP($B57,'Indicator Data (national)'!$B$5:$BB$14,48,FALSE))</f>
        <v>9.814910769612494</v>
      </c>
      <c r="AA57" s="2">
        <f t="shared" si="11"/>
        <v>9.0185089230387501</v>
      </c>
      <c r="AB57" s="3">
        <f t="shared" si="12"/>
        <v>7.7216164848659146</v>
      </c>
      <c r="AC57" s="2">
        <f>IF(VLOOKUP($B57,'Indicator Data (national)'!$B$5:$BB$14,49,FALSE)="No data","x",IF(VLOOKUP($B57,'Indicator Data (national)'!$B$5:$BB$14,49,FALSE)&gt;AC$150,0,IF(VLOOKUP($B57,'Indicator Data (national)'!$B$5:$BB$14,49,FALSE)&lt;AC$149,10,(AC$150-VLOOKUP($B57,'Indicator Data (national)'!$B$5:$BB$14,49,FALSE))/(AC$150-AC$149)*10)))</f>
        <v>8.6440000000000001</v>
      </c>
      <c r="AD57" s="2">
        <f>IF(VLOOKUP($B57,'Indicator Data (national)'!$B$5:$BB$14,50,FALSE)="No data","x",IF(VLOOKUP($B57,'Indicator Data (national)'!$B$5:$BB$14,50,FALSE)&gt;AD$150,0,IF(VLOOKUP($B57,'Indicator Data (national)'!$B$5:$BB$14,50,FALSE)&lt;AD$149,10,(AD$150-VLOOKUP($B57,'Indicator Data (national)'!$B$5:$BB$14,50,FALSE))/(AD$150-AD$149)*10)))</f>
        <v>8.6471999999999998</v>
      </c>
      <c r="AE57" s="3">
        <f t="shared" si="13"/>
        <v>8.6456</v>
      </c>
      <c r="AF57" s="2">
        <f>IF(VLOOKUP($B57,'Indicator Data (national)'!$B$5:$BB$14,51,FALSE)="No data","x",IF(VLOOKUP($B57,'Indicator Data (national)'!$B$5:$BB$14,51,FALSE)&gt;AF$150,0,IF(VLOOKUP($B57,'Indicator Data (national)'!$B$5:$BB$14,51,FALSE)&lt;AF$149,10,(AF$150-VLOOKUP($B57,'Indicator Data (national)'!$B$5:$BB$14,51,FALSE))/(AF$150-AF$149)*10)))</f>
        <v>0</v>
      </c>
      <c r="AG57" s="2">
        <f>IF(VLOOKUP($B57,'Indicator Data (national)'!$B$5:$BB$14,52,FALSE)="No data","x",IF(VLOOKUP($B57,'Indicator Data (national)'!$B$5:$BB$14,52,FALSE)&gt;AG$150,0,IF(VLOOKUP($B57,'Indicator Data (national)'!$B$5:$BB$14,52,FALSE)&lt;AG$149,10,(AG$150-VLOOKUP($B57,'Indicator Data (national)'!$B$5:$BB$14,52,FALSE))/(AG$150-AG$149)*10)))</f>
        <v>0</v>
      </c>
      <c r="AH57" s="2">
        <f>IF(VLOOKUP($B57,'Indicator Data (national)'!$B$5:$BB$14,53,FALSE)="No data","x",IF(VLOOKUP($B57,'Indicator Data (national)'!$B$5:$BB$14,53,FALSE)&gt;AH$150,0,IF(VLOOKUP($B57,'Indicator Data (national)'!$B$5:$BB$14,53,FALSE)&lt;AH$149,10,(AH$150-VLOOKUP($B57,'Indicator Data (national)'!$B$5:$BB$14,53,FALSE))/(AH$150-AH$149)*10)))</f>
        <v>5.1780682960214941</v>
      </c>
      <c r="AI57" s="3">
        <f t="shared" si="14"/>
        <v>1.726022765340498</v>
      </c>
      <c r="AJ57" s="5">
        <f t="shared" si="17"/>
        <v>6.0310797500688045</v>
      </c>
    </row>
    <row r="58" spans="1:36" s="11" customFormat="1" x14ac:dyDescent="0.25">
      <c r="A58" s="16" t="s">
        <v>425</v>
      </c>
      <c r="B58" s="11" t="s">
        <v>576</v>
      </c>
      <c r="C58" s="126" t="s">
        <v>650</v>
      </c>
      <c r="D58" s="120">
        <f>(VLOOKUP($B58,'Indicator Data (national)'!$B$5:$AP$14,39,FALSE)+VLOOKUP($B58,'Indicator Data (national)'!$B$5:$AP$14,40,FALSE)+VLOOKUP($B58,'Indicator Data (national)'!$B$5:$AP$14,41,FALSE))/VLOOKUP($B58,'Indicator Data (national)'!$B$5:$AP$14,38,FALSE)*1000000</f>
        <v>0.3850863279901553</v>
      </c>
      <c r="E58" s="2">
        <f t="shared" si="3"/>
        <v>8.0745683600492235</v>
      </c>
      <c r="F58" s="3">
        <f t="shared" si="4"/>
        <v>8.0745683600492235</v>
      </c>
      <c r="G58" s="2">
        <f>IF(VLOOKUP($B58,'Indicator Data (national)'!$B$5:$AQ$14,30,FALSE)="No data","x",IF(VLOOKUP($B58,'Indicator Data (national)'!$B$5:$AQ$14,30,FALSE)&gt;G$150,10,IF(VLOOKUP($B58,'Indicator Data (national)'!$B$5:$AQ$14,30,FALSE)&lt;G$149,0,(G$150-VLOOKUP($B58,'Indicator Data (national)'!$B$5:$AQ$14,30,FALSE))/(G$150-G$149)*10)))</f>
        <v>7.5</v>
      </c>
      <c r="H58" s="2">
        <f>IF(VLOOKUP($B58,'Indicator Data (national)'!$B$5:$AQ$14,29,FALSE)="No data","x",IF(VLOOKUP($B58,'Indicator Data (national)'!$B$5:$AQ$14,29,FALSE)&gt;H$150,10,IF(VLOOKUP($B58,'Indicator Data (national)'!$B$5:$AQ$14,29,FALSE)&lt;H$149,0,(H$150-VLOOKUP($B58,'Indicator Data (national)'!$B$5:$AQ$14,29,FALSE))/(H$150-H$149)*10)))</f>
        <v>5.9728583693504333</v>
      </c>
      <c r="I58" s="3">
        <f t="shared" si="5"/>
        <v>6.7364291846752167</v>
      </c>
      <c r="J58" s="5">
        <f t="shared" si="6"/>
        <v>7.4054987723622201</v>
      </c>
      <c r="K58" s="2">
        <f>IF(VLOOKUP($B58,'Indicator Data (national)'!$B$5:$AQ$14,33,FALSE)="No data","x",IF(VLOOKUP($B58,'Indicator Data (national)'!$B$5:$AQ$14,33,FALSE)&gt;K$150,10,IF(VLOOKUP($B58,'Indicator Data (national)'!$B$5:$AQ$14,33,FALSE)&lt;K$149,0,(K$150-VLOOKUP($B58,'Indicator Data (national)'!$B$5:$AQ$14,33,FALSE))/(K$150-K$149)*10)))</f>
        <v>2.2000000000000002</v>
      </c>
      <c r="L58" s="2">
        <f>IF(VLOOKUP($B58,'Indicator Data (national)'!$B$5:$AQ$14,34,FALSE)="No data","x",IF(VLOOKUP($B58,'Indicator Data (national)'!$B$5:$AQ$14,34,FALSE)&gt;L$150,10,IF(VLOOKUP($B58,'Indicator Data (national)'!$B$5:$AQ$14,34,FALSE)&lt;L$149,0,(L$150-VLOOKUP($B58,'Indicator Data (national)'!$B$5:$AQ$14,34,FALSE))/(L$150-L$149)*10)))</f>
        <v>2.8235954477835907</v>
      </c>
      <c r="M58" s="3">
        <f t="shared" si="7"/>
        <v>2.5117977238917955</v>
      </c>
      <c r="N58" s="2">
        <f>IF(VLOOKUP($B58,'Indicator Data (national)'!$B$5:$AS$14,44,FALSE)="No data","x",IF(VLOOKUP($B58,'Indicator Data (national)'!$B$5:$AS$14,44,FALSE)&gt;N$150,10,IF(VLOOKUP($B58,'Indicator Data (national)'!$B$5:$AS$14,44,FALSE)&lt;N$149,0,10-(N$150-VLOOKUP($B58,'Indicator Data (national)'!$B$5:$AS$14,44,FALSE))/(N$150-N$149)*10)))</f>
        <v>3.9000000000000004</v>
      </c>
      <c r="O58" s="2">
        <f>IF(VLOOKUP($B58,'Indicator Data (national)'!$B$5:$AS$14,42,FALSE)="No data","x",IF(VLOOKUP($B58,'Indicator Data (national)'!$B$5:$AS$14,42,FALSE)&gt;O$150,0,IF(VLOOKUP($B58,'Indicator Data (national)'!$B$5:$AS$14,42,FALSE)&lt;O$149,10,(O$150-VLOOKUP($B58,'Indicator Data (national)'!$B$5:$AS$14,42,FALSE))/(O$150-O$149)*10)))</f>
        <v>9.3507578421680311</v>
      </c>
      <c r="P58" s="158">
        <f t="shared" si="8"/>
        <v>6.6253789210840157</v>
      </c>
      <c r="Q58" s="2">
        <f>IF(VLOOKUP($B58,'Indicator Data (national)'!$B$5:$Q$14,16,FALSE)="No data","x",IF(VLOOKUP($B58,'Indicator Data (national)'!$B$5:$Q$14,16,FALSE)&gt;Q$150,0,IF(VLOOKUP($B58,'Indicator Data (national)'!$B$5:$Q$14,16,FALSE)&lt;Q$149,10,(Q$150-VLOOKUP($B58,'Indicator Data (national)'!$B$5:$Q$14,16,FALSE))/(Q$150-Q$149)*10)))</f>
        <v>8.1999999999999993</v>
      </c>
      <c r="R58" s="158">
        <f t="shared" si="9"/>
        <v>8.1999999999999993</v>
      </c>
      <c r="S58" s="3">
        <f t="shared" si="15"/>
        <v>7.4126894605420075</v>
      </c>
      <c r="T58" s="2">
        <f>IF(VLOOKUP($B58,'Indicator Data (national)'!$B$5:$BC$14,43,FALSE)="No data","x",IF(VLOOKUP($B58,'Indicator Data (national)'!$B$5:$BC$14,43,FALSE)&gt;T$150,10,IF(VLOOKUP($B58,'Indicator Data (national)'!$B$5:$BC$14,43,FALSE)&lt;T$149,0,(T$150-VLOOKUP($B58,'Indicator Data (national)'!$B$5:$BC$14,43,FALSE))/(T$150-T$149)*10)))</f>
        <v>9.8647237723687979</v>
      </c>
      <c r="U58" s="3">
        <f t="shared" si="10"/>
        <v>9.8647237723687979</v>
      </c>
      <c r="V58" s="5">
        <f t="shared" si="16"/>
        <v>6.5964036522675329</v>
      </c>
      <c r="W58" s="2">
        <f>IF(VLOOKUP($B58,'Indicator Data (national)'!$B$5:$AS$14,37,FALSE)="No data","x",IF(VLOOKUP($B58,'Indicator Data (national)'!$B$5:$AS$14,37,FALSE)&gt;W$150,10,IF(VLOOKUP($B58,'Indicator Data (national)'!$B$5:$AS$14,37,FALSE)&lt;W$149,0,(LOG(W$150)-LOG(VLOOKUP($B58,'Indicator Data (national)'!$B$5:$AS$14,37,FALSE)))/(LOG(W$150)-LOG(W$149))*10)))</f>
        <v>7.6457347942026841</v>
      </c>
      <c r="X58" s="2">
        <f>IF(VLOOKUP($B58,'Indicator Data (national)'!$B$5:$BB$14,45,FALSE)="No data","x",IF(VLOOKUP($B58,'Indicator Data (national)'!$B$5:$BB$14,45,FALSE)&gt;X$150,10,IF(VLOOKUP($B58,'Indicator Data (national)'!$B$5:$BB$14,45,FALSE)&lt;X$149,0,10-(X$150-VLOOKUP($B58,'Indicator Data (national)'!$B$5:$BB$14,45,FALSE))/(X$150-X$149)*10)))</f>
        <v>6.2222222222222223</v>
      </c>
      <c r="Y58" s="2">
        <f>IF(VLOOKUP($B58,'Indicator Data (national)'!$B$5:$BB$14,46,FALSE)="No data","x",IF(VLOOKUP($B58,'Indicator Data (national)'!$B$5:$BB$14,46,FALSE)&gt;Y$150,10,IF(VLOOKUP($B58,'Indicator Data (national)'!$B$5:$BB$14,46,FALSE)&lt;Y$149,0,(Y$150-VLOOKUP($B58,'Indicator Data (national)'!$B$5:$BB$14,46,FALSE))/(Y$150-Y$149)*10)))</f>
        <v>8</v>
      </c>
      <c r="Z58" s="156">
        <f>IF(VLOOKUP($B58,'Indicator Data (national)'!$B$5:$BB$14,48,FALSE)="No data","x",VLOOKUP($B58,'Indicator Data (national)'!$B$5:$BB$14,47,FALSE)*VLOOKUP($B58,'Indicator Data (national)'!$B$5:$BB$14,48,FALSE))</f>
        <v>9.814910769612494</v>
      </c>
      <c r="AA58" s="2">
        <f t="shared" si="11"/>
        <v>9.0185089230387501</v>
      </c>
      <c r="AB58" s="3">
        <f t="shared" si="12"/>
        <v>7.7216164848659146</v>
      </c>
      <c r="AC58" s="2">
        <f>IF(VLOOKUP($B58,'Indicator Data (national)'!$B$5:$BB$14,49,FALSE)="No data","x",IF(VLOOKUP($B58,'Indicator Data (national)'!$B$5:$BB$14,49,FALSE)&gt;AC$150,0,IF(VLOOKUP($B58,'Indicator Data (national)'!$B$5:$BB$14,49,FALSE)&lt;AC$149,10,(AC$150-VLOOKUP($B58,'Indicator Data (national)'!$B$5:$BB$14,49,FALSE))/(AC$150-AC$149)*10)))</f>
        <v>8.6440000000000001</v>
      </c>
      <c r="AD58" s="2">
        <f>IF(VLOOKUP($B58,'Indicator Data (national)'!$B$5:$BB$14,50,FALSE)="No data","x",IF(VLOOKUP($B58,'Indicator Data (national)'!$B$5:$BB$14,50,FALSE)&gt;AD$150,0,IF(VLOOKUP($B58,'Indicator Data (national)'!$B$5:$BB$14,50,FALSE)&lt;AD$149,10,(AD$150-VLOOKUP($B58,'Indicator Data (national)'!$B$5:$BB$14,50,FALSE))/(AD$150-AD$149)*10)))</f>
        <v>8.6471999999999998</v>
      </c>
      <c r="AE58" s="3">
        <f t="shared" si="13"/>
        <v>8.6456</v>
      </c>
      <c r="AF58" s="2">
        <f>IF(VLOOKUP($B58,'Indicator Data (national)'!$B$5:$BB$14,51,FALSE)="No data","x",IF(VLOOKUP($B58,'Indicator Data (national)'!$B$5:$BB$14,51,FALSE)&gt;AF$150,0,IF(VLOOKUP($B58,'Indicator Data (national)'!$B$5:$BB$14,51,FALSE)&lt;AF$149,10,(AF$150-VLOOKUP($B58,'Indicator Data (national)'!$B$5:$BB$14,51,FALSE))/(AF$150-AF$149)*10)))</f>
        <v>0</v>
      </c>
      <c r="AG58" s="2">
        <f>IF(VLOOKUP($B58,'Indicator Data (national)'!$B$5:$BB$14,52,FALSE)="No data","x",IF(VLOOKUP($B58,'Indicator Data (national)'!$B$5:$BB$14,52,FALSE)&gt;AG$150,0,IF(VLOOKUP($B58,'Indicator Data (national)'!$B$5:$BB$14,52,FALSE)&lt;AG$149,10,(AG$150-VLOOKUP($B58,'Indicator Data (national)'!$B$5:$BB$14,52,FALSE))/(AG$150-AG$149)*10)))</f>
        <v>0</v>
      </c>
      <c r="AH58" s="2">
        <f>IF(VLOOKUP($B58,'Indicator Data (national)'!$B$5:$BB$14,53,FALSE)="No data","x",IF(VLOOKUP($B58,'Indicator Data (national)'!$B$5:$BB$14,53,FALSE)&gt;AH$150,0,IF(VLOOKUP($B58,'Indicator Data (national)'!$B$5:$BB$14,53,FALSE)&lt;AH$149,10,(AH$150-VLOOKUP($B58,'Indicator Data (national)'!$B$5:$BB$14,53,FALSE))/(AH$150-AH$149)*10)))</f>
        <v>5.1780682960214941</v>
      </c>
      <c r="AI58" s="3">
        <f t="shared" si="14"/>
        <v>1.726022765340498</v>
      </c>
      <c r="AJ58" s="5">
        <f t="shared" si="17"/>
        <v>6.0310797500688045</v>
      </c>
    </row>
    <row r="59" spans="1:36" s="11" customFormat="1" x14ac:dyDescent="0.25">
      <c r="A59" s="16" t="s">
        <v>426</v>
      </c>
      <c r="B59" s="11" t="s">
        <v>576</v>
      </c>
      <c r="C59" s="126" t="s">
        <v>651</v>
      </c>
      <c r="D59" s="120">
        <f>(VLOOKUP($B59,'Indicator Data (national)'!$B$5:$AP$14,39,FALSE)+VLOOKUP($B59,'Indicator Data (national)'!$B$5:$AP$14,40,FALSE)+VLOOKUP($B59,'Indicator Data (national)'!$B$5:$AP$14,41,FALSE))/VLOOKUP($B59,'Indicator Data (national)'!$B$5:$AP$14,38,FALSE)*1000000</f>
        <v>0.3850863279901553</v>
      </c>
      <c r="E59" s="2">
        <f t="shared" si="3"/>
        <v>8.0745683600492235</v>
      </c>
      <c r="F59" s="3">
        <f t="shared" si="4"/>
        <v>8.0745683600492235</v>
      </c>
      <c r="G59" s="2">
        <f>IF(VLOOKUP($B59,'Indicator Data (national)'!$B$5:$AQ$14,30,FALSE)="No data","x",IF(VLOOKUP($B59,'Indicator Data (national)'!$B$5:$AQ$14,30,FALSE)&gt;G$150,10,IF(VLOOKUP($B59,'Indicator Data (national)'!$B$5:$AQ$14,30,FALSE)&lt;G$149,0,(G$150-VLOOKUP($B59,'Indicator Data (national)'!$B$5:$AQ$14,30,FALSE))/(G$150-G$149)*10)))</f>
        <v>7.5</v>
      </c>
      <c r="H59" s="2">
        <f>IF(VLOOKUP($B59,'Indicator Data (national)'!$B$5:$AQ$14,29,FALSE)="No data","x",IF(VLOOKUP($B59,'Indicator Data (national)'!$B$5:$AQ$14,29,FALSE)&gt;H$150,10,IF(VLOOKUP($B59,'Indicator Data (national)'!$B$5:$AQ$14,29,FALSE)&lt;H$149,0,(H$150-VLOOKUP($B59,'Indicator Data (national)'!$B$5:$AQ$14,29,FALSE))/(H$150-H$149)*10)))</f>
        <v>5.9728583693504333</v>
      </c>
      <c r="I59" s="3">
        <f t="shared" si="5"/>
        <v>6.7364291846752167</v>
      </c>
      <c r="J59" s="5">
        <f t="shared" si="6"/>
        <v>7.4054987723622201</v>
      </c>
      <c r="K59" s="2">
        <f>IF(VLOOKUP($B59,'Indicator Data (national)'!$B$5:$AQ$14,33,FALSE)="No data","x",IF(VLOOKUP($B59,'Indicator Data (national)'!$B$5:$AQ$14,33,FALSE)&gt;K$150,10,IF(VLOOKUP($B59,'Indicator Data (national)'!$B$5:$AQ$14,33,FALSE)&lt;K$149,0,(K$150-VLOOKUP($B59,'Indicator Data (national)'!$B$5:$AQ$14,33,FALSE))/(K$150-K$149)*10)))</f>
        <v>2.2000000000000002</v>
      </c>
      <c r="L59" s="2">
        <f>IF(VLOOKUP($B59,'Indicator Data (national)'!$B$5:$AQ$14,34,FALSE)="No data","x",IF(VLOOKUP($B59,'Indicator Data (national)'!$B$5:$AQ$14,34,FALSE)&gt;L$150,10,IF(VLOOKUP($B59,'Indicator Data (national)'!$B$5:$AQ$14,34,FALSE)&lt;L$149,0,(L$150-VLOOKUP($B59,'Indicator Data (national)'!$B$5:$AQ$14,34,FALSE))/(L$150-L$149)*10)))</f>
        <v>2.8235954477835907</v>
      </c>
      <c r="M59" s="3">
        <f t="shared" si="7"/>
        <v>2.5117977238917955</v>
      </c>
      <c r="N59" s="2">
        <f>IF(VLOOKUP($B59,'Indicator Data (national)'!$B$5:$AS$14,44,FALSE)="No data","x",IF(VLOOKUP($B59,'Indicator Data (national)'!$B$5:$AS$14,44,FALSE)&gt;N$150,10,IF(VLOOKUP($B59,'Indicator Data (national)'!$B$5:$AS$14,44,FALSE)&lt;N$149,0,10-(N$150-VLOOKUP($B59,'Indicator Data (national)'!$B$5:$AS$14,44,FALSE))/(N$150-N$149)*10)))</f>
        <v>3.9000000000000004</v>
      </c>
      <c r="O59" s="2">
        <f>IF(VLOOKUP($B59,'Indicator Data (national)'!$B$5:$AS$14,42,FALSE)="No data","x",IF(VLOOKUP($B59,'Indicator Data (national)'!$B$5:$AS$14,42,FALSE)&gt;O$150,0,IF(VLOOKUP($B59,'Indicator Data (national)'!$B$5:$AS$14,42,FALSE)&lt;O$149,10,(O$150-VLOOKUP($B59,'Indicator Data (national)'!$B$5:$AS$14,42,FALSE))/(O$150-O$149)*10)))</f>
        <v>9.3507578421680311</v>
      </c>
      <c r="P59" s="158">
        <f t="shared" si="8"/>
        <v>6.6253789210840157</v>
      </c>
      <c r="Q59" s="2">
        <f>IF(VLOOKUP($B59,'Indicator Data (national)'!$B$5:$Q$14,16,FALSE)="No data","x",IF(VLOOKUP($B59,'Indicator Data (national)'!$B$5:$Q$14,16,FALSE)&gt;Q$150,0,IF(VLOOKUP($B59,'Indicator Data (national)'!$B$5:$Q$14,16,FALSE)&lt;Q$149,10,(Q$150-VLOOKUP($B59,'Indicator Data (national)'!$B$5:$Q$14,16,FALSE))/(Q$150-Q$149)*10)))</f>
        <v>8.1999999999999993</v>
      </c>
      <c r="R59" s="158">
        <f t="shared" si="9"/>
        <v>8.1999999999999993</v>
      </c>
      <c r="S59" s="3">
        <f t="shared" si="15"/>
        <v>7.4126894605420075</v>
      </c>
      <c r="T59" s="2">
        <f>IF(VLOOKUP($B59,'Indicator Data (national)'!$B$5:$BC$14,43,FALSE)="No data","x",IF(VLOOKUP($B59,'Indicator Data (national)'!$B$5:$BC$14,43,FALSE)&gt;T$150,10,IF(VLOOKUP($B59,'Indicator Data (national)'!$B$5:$BC$14,43,FALSE)&lt;T$149,0,(T$150-VLOOKUP($B59,'Indicator Data (national)'!$B$5:$BC$14,43,FALSE))/(T$150-T$149)*10)))</f>
        <v>9.8647237723687979</v>
      </c>
      <c r="U59" s="3">
        <f t="shared" si="10"/>
        <v>9.8647237723687979</v>
      </c>
      <c r="V59" s="5">
        <f t="shared" si="16"/>
        <v>6.5964036522675329</v>
      </c>
      <c r="W59" s="2">
        <f>IF(VLOOKUP($B59,'Indicator Data (national)'!$B$5:$AS$14,37,FALSE)="No data","x",IF(VLOOKUP($B59,'Indicator Data (national)'!$B$5:$AS$14,37,FALSE)&gt;W$150,10,IF(VLOOKUP($B59,'Indicator Data (national)'!$B$5:$AS$14,37,FALSE)&lt;W$149,0,(LOG(W$150)-LOG(VLOOKUP($B59,'Indicator Data (national)'!$B$5:$AS$14,37,FALSE)))/(LOG(W$150)-LOG(W$149))*10)))</f>
        <v>7.6457347942026841</v>
      </c>
      <c r="X59" s="2">
        <f>IF(VLOOKUP($B59,'Indicator Data (national)'!$B$5:$BB$14,45,FALSE)="No data","x",IF(VLOOKUP($B59,'Indicator Data (national)'!$B$5:$BB$14,45,FALSE)&gt;X$150,10,IF(VLOOKUP($B59,'Indicator Data (national)'!$B$5:$BB$14,45,FALSE)&lt;X$149,0,10-(X$150-VLOOKUP($B59,'Indicator Data (national)'!$B$5:$BB$14,45,FALSE))/(X$150-X$149)*10)))</f>
        <v>6.2222222222222223</v>
      </c>
      <c r="Y59" s="2">
        <f>IF(VLOOKUP($B59,'Indicator Data (national)'!$B$5:$BB$14,46,FALSE)="No data","x",IF(VLOOKUP($B59,'Indicator Data (national)'!$B$5:$BB$14,46,FALSE)&gt;Y$150,10,IF(VLOOKUP($B59,'Indicator Data (national)'!$B$5:$BB$14,46,FALSE)&lt;Y$149,0,(Y$150-VLOOKUP($B59,'Indicator Data (national)'!$B$5:$BB$14,46,FALSE))/(Y$150-Y$149)*10)))</f>
        <v>8</v>
      </c>
      <c r="Z59" s="156">
        <f>IF(VLOOKUP($B59,'Indicator Data (national)'!$B$5:$BB$14,48,FALSE)="No data","x",VLOOKUP($B59,'Indicator Data (national)'!$B$5:$BB$14,47,FALSE)*VLOOKUP($B59,'Indicator Data (national)'!$B$5:$BB$14,48,FALSE))</f>
        <v>9.814910769612494</v>
      </c>
      <c r="AA59" s="2">
        <f t="shared" si="11"/>
        <v>9.0185089230387501</v>
      </c>
      <c r="AB59" s="3">
        <f t="shared" si="12"/>
        <v>7.7216164848659146</v>
      </c>
      <c r="AC59" s="2">
        <f>IF(VLOOKUP($B59,'Indicator Data (national)'!$B$5:$BB$14,49,FALSE)="No data","x",IF(VLOOKUP($B59,'Indicator Data (national)'!$B$5:$BB$14,49,FALSE)&gt;AC$150,0,IF(VLOOKUP($B59,'Indicator Data (national)'!$B$5:$BB$14,49,FALSE)&lt;AC$149,10,(AC$150-VLOOKUP($B59,'Indicator Data (national)'!$B$5:$BB$14,49,FALSE))/(AC$150-AC$149)*10)))</f>
        <v>8.6440000000000001</v>
      </c>
      <c r="AD59" s="2">
        <f>IF(VLOOKUP($B59,'Indicator Data (national)'!$B$5:$BB$14,50,FALSE)="No data","x",IF(VLOOKUP($B59,'Indicator Data (national)'!$B$5:$BB$14,50,FALSE)&gt;AD$150,0,IF(VLOOKUP($B59,'Indicator Data (national)'!$B$5:$BB$14,50,FALSE)&lt;AD$149,10,(AD$150-VLOOKUP($B59,'Indicator Data (national)'!$B$5:$BB$14,50,FALSE))/(AD$150-AD$149)*10)))</f>
        <v>8.6471999999999998</v>
      </c>
      <c r="AE59" s="3">
        <f t="shared" si="13"/>
        <v>8.6456</v>
      </c>
      <c r="AF59" s="2">
        <f>IF(VLOOKUP($B59,'Indicator Data (national)'!$B$5:$BB$14,51,FALSE)="No data","x",IF(VLOOKUP($B59,'Indicator Data (national)'!$B$5:$BB$14,51,FALSE)&gt;AF$150,0,IF(VLOOKUP($B59,'Indicator Data (national)'!$B$5:$BB$14,51,FALSE)&lt;AF$149,10,(AF$150-VLOOKUP($B59,'Indicator Data (national)'!$B$5:$BB$14,51,FALSE))/(AF$150-AF$149)*10)))</f>
        <v>0</v>
      </c>
      <c r="AG59" s="2">
        <f>IF(VLOOKUP($B59,'Indicator Data (national)'!$B$5:$BB$14,52,FALSE)="No data","x",IF(VLOOKUP($B59,'Indicator Data (national)'!$B$5:$BB$14,52,FALSE)&gt;AG$150,0,IF(VLOOKUP($B59,'Indicator Data (national)'!$B$5:$BB$14,52,FALSE)&lt;AG$149,10,(AG$150-VLOOKUP($B59,'Indicator Data (national)'!$B$5:$BB$14,52,FALSE))/(AG$150-AG$149)*10)))</f>
        <v>0</v>
      </c>
      <c r="AH59" s="2">
        <f>IF(VLOOKUP($B59,'Indicator Data (national)'!$B$5:$BB$14,53,FALSE)="No data","x",IF(VLOOKUP($B59,'Indicator Data (national)'!$B$5:$BB$14,53,FALSE)&gt;AH$150,0,IF(VLOOKUP($B59,'Indicator Data (national)'!$B$5:$BB$14,53,FALSE)&lt;AH$149,10,(AH$150-VLOOKUP($B59,'Indicator Data (national)'!$B$5:$BB$14,53,FALSE))/(AH$150-AH$149)*10)))</f>
        <v>5.1780682960214941</v>
      </c>
      <c r="AI59" s="3">
        <f t="shared" si="14"/>
        <v>1.726022765340498</v>
      </c>
      <c r="AJ59" s="5">
        <f t="shared" si="17"/>
        <v>6.0310797500688045</v>
      </c>
    </row>
    <row r="60" spans="1:36" s="11" customFormat="1" x14ac:dyDescent="0.25">
      <c r="A60" s="16" t="s">
        <v>427</v>
      </c>
      <c r="B60" s="11" t="s">
        <v>576</v>
      </c>
      <c r="C60" s="126" t="s">
        <v>652</v>
      </c>
      <c r="D60" s="120">
        <f>(VLOOKUP($B60,'Indicator Data (national)'!$B$5:$AP$14,39,FALSE)+VLOOKUP($B60,'Indicator Data (national)'!$B$5:$AP$14,40,FALSE)+VLOOKUP($B60,'Indicator Data (national)'!$B$5:$AP$14,41,FALSE))/VLOOKUP($B60,'Indicator Data (national)'!$B$5:$AP$14,38,FALSE)*1000000</f>
        <v>0.3850863279901553</v>
      </c>
      <c r="E60" s="2">
        <f t="shared" si="3"/>
        <v>8.0745683600492235</v>
      </c>
      <c r="F60" s="3">
        <f t="shared" si="4"/>
        <v>8.0745683600492235</v>
      </c>
      <c r="G60" s="2">
        <f>IF(VLOOKUP($B60,'Indicator Data (national)'!$B$5:$AQ$14,30,FALSE)="No data","x",IF(VLOOKUP($B60,'Indicator Data (national)'!$B$5:$AQ$14,30,FALSE)&gt;G$150,10,IF(VLOOKUP($B60,'Indicator Data (national)'!$B$5:$AQ$14,30,FALSE)&lt;G$149,0,(G$150-VLOOKUP($B60,'Indicator Data (national)'!$B$5:$AQ$14,30,FALSE))/(G$150-G$149)*10)))</f>
        <v>7.5</v>
      </c>
      <c r="H60" s="2">
        <f>IF(VLOOKUP($B60,'Indicator Data (national)'!$B$5:$AQ$14,29,FALSE)="No data","x",IF(VLOOKUP($B60,'Indicator Data (national)'!$B$5:$AQ$14,29,FALSE)&gt;H$150,10,IF(VLOOKUP($B60,'Indicator Data (national)'!$B$5:$AQ$14,29,FALSE)&lt;H$149,0,(H$150-VLOOKUP($B60,'Indicator Data (national)'!$B$5:$AQ$14,29,FALSE))/(H$150-H$149)*10)))</f>
        <v>5.9728583693504333</v>
      </c>
      <c r="I60" s="3">
        <f t="shared" si="5"/>
        <v>6.7364291846752167</v>
      </c>
      <c r="J60" s="5">
        <f t="shared" si="6"/>
        <v>7.4054987723622201</v>
      </c>
      <c r="K60" s="2">
        <f>IF(VLOOKUP($B60,'Indicator Data (national)'!$B$5:$AQ$14,33,FALSE)="No data","x",IF(VLOOKUP($B60,'Indicator Data (national)'!$B$5:$AQ$14,33,FALSE)&gt;K$150,10,IF(VLOOKUP($B60,'Indicator Data (national)'!$B$5:$AQ$14,33,FALSE)&lt;K$149,0,(K$150-VLOOKUP($B60,'Indicator Data (national)'!$B$5:$AQ$14,33,FALSE))/(K$150-K$149)*10)))</f>
        <v>2.2000000000000002</v>
      </c>
      <c r="L60" s="2">
        <f>IF(VLOOKUP($B60,'Indicator Data (national)'!$B$5:$AQ$14,34,FALSE)="No data","x",IF(VLOOKUP($B60,'Indicator Data (national)'!$B$5:$AQ$14,34,FALSE)&gt;L$150,10,IF(VLOOKUP($B60,'Indicator Data (national)'!$B$5:$AQ$14,34,FALSE)&lt;L$149,0,(L$150-VLOOKUP($B60,'Indicator Data (national)'!$B$5:$AQ$14,34,FALSE))/(L$150-L$149)*10)))</f>
        <v>2.8235954477835907</v>
      </c>
      <c r="M60" s="3">
        <f t="shared" si="7"/>
        <v>2.5117977238917955</v>
      </c>
      <c r="N60" s="2">
        <f>IF(VLOOKUP($B60,'Indicator Data (national)'!$B$5:$AS$14,44,FALSE)="No data","x",IF(VLOOKUP($B60,'Indicator Data (national)'!$B$5:$AS$14,44,FALSE)&gt;N$150,10,IF(VLOOKUP($B60,'Indicator Data (national)'!$B$5:$AS$14,44,FALSE)&lt;N$149,0,10-(N$150-VLOOKUP($B60,'Indicator Data (national)'!$B$5:$AS$14,44,FALSE))/(N$150-N$149)*10)))</f>
        <v>3.9000000000000004</v>
      </c>
      <c r="O60" s="2">
        <f>IF(VLOOKUP($B60,'Indicator Data (national)'!$B$5:$AS$14,42,FALSE)="No data","x",IF(VLOOKUP($B60,'Indicator Data (national)'!$B$5:$AS$14,42,FALSE)&gt;O$150,0,IF(VLOOKUP($B60,'Indicator Data (national)'!$B$5:$AS$14,42,FALSE)&lt;O$149,10,(O$150-VLOOKUP($B60,'Indicator Data (national)'!$B$5:$AS$14,42,FALSE))/(O$150-O$149)*10)))</f>
        <v>9.3507578421680311</v>
      </c>
      <c r="P60" s="158">
        <f t="shared" si="8"/>
        <v>6.6253789210840157</v>
      </c>
      <c r="Q60" s="2">
        <f>IF(VLOOKUP($B60,'Indicator Data (national)'!$B$5:$Q$14,16,FALSE)="No data","x",IF(VLOOKUP($B60,'Indicator Data (national)'!$B$5:$Q$14,16,FALSE)&gt;Q$150,0,IF(VLOOKUP($B60,'Indicator Data (national)'!$B$5:$Q$14,16,FALSE)&lt;Q$149,10,(Q$150-VLOOKUP($B60,'Indicator Data (national)'!$B$5:$Q$14,16,FALSE))/(Q$150-Q$149)*10)))</f>
        <v>8.1999999999999993</v>
      </c>
      <c r="R60" s="158">
        <f t="shared" si="9"/>
        <v>8.1999999999999993</v>
      </c>
      <c r="S60" s="3">
        <f t="shared" si="15"/>
        <v>7.4126894605420075</v>
      </c>
      <c r="T60" s="2">
        <f>IF(VLOOKUP($B60,'Indicator Data (national)'!$B$5:$BC$14,43,FALSE)="No data","x",IF(VLOOKUP($B60,'Indicator Data (national)'!$B$5:$BC$14,43,FALSE)&gt;T$150,10,IF(VLOOKUP($B60,'Indicator Data (national)'!$B$5:$BC$14,43,FALSE)&lt;T$149,0,(T$150-VLOOKUP($B60,'Indicator Data (national)'!$B$5:$BC$14,43,FALSE))/(T$150-T$149)*10)))</f>
        <v>9.8647237723687979</v>
      </c>
      <c r="U60" s="3">
        <f t="shared" si="10"/>
        <v>9.8647237723687979</v>
      </c>
      <c r="V60" s="5">
        <f t="shared" si="16"/>
        <v>6.5964036522675329</v>
      </c>
      <c r="W60" s="2">
        <f>IF(VLOOKUP($B60,'Indicator Data (national)'!$B$5:$AS$14,37,FALSE)="No data","x",IF(VLOOKUP($B60,'Indicator Data (national)'!$B$5:$AS$14,37,FALSE)&gt;W$150,10,IF(VLOOKUP($B60,'Indicator Data (national)'!$B$5:$AS$14,37,FALSE)&lt;W$149,0,(LOG(W$150)-LOG(VLOOKUP($B60,'Indicator Data (national)'!$B$5:$AS$14,37,FALSE)))/(LOG(W$150)-LOG(W$149))*10)))</f>
        <v>7.6457347942026841</v>
      </c>
      <c r="X60" s="2">
        <f>IF(VLOOKUP($B60,'Indicator Data (national)'!$B$5:$BB$14,45,FALSE)="No data","x",IF(VLOOKUP($B60,'Indicator Data (national)'!$B$5:$BB$14,45,FALSE)&gt;X$150,10,IF(VLOOKUP($B60,'Indicator Data (national)'!$B$5:$BB$14,45,FALSE)&lt;X$149,0,10-(X$150-VLOOKUP($B60,'Indicator Data (national)'!$B$5:$BB$14,45,FALSE))/(X$150-X$149)*10)))</f>
        <v>6.2222222222222223</v>
      </c>
      <c r="Y60" s="2">
        <f>IF(VLOOKUP($B60,'Indicator Data (national)'!$B$5:$BB$14,46,FALSE)="No data","x",IF(VLOOKUP($B60,'Indicator Data (national)'!$B$5:$BB$14,46,FALSE)&gt;Y$150,10,IF(VLOOKUP($B60,'Indicator Data (national)'!$B$5:$BB$14,46,FALSE)&lt;Y$149,0,(Y$150-VLOOKUP($B60,'Indicator Data (national)'!$B$5:$BB$14,46,FALSE))/(Y$150-Y$149)*10)))</f>
        <v>8</v>
      </c>
      <c r="Z60" s="156">
        <f>IF(VLOOKUP($B60,'Indicator Data (national)'!$B$5:$BB$14,48,FALSE)="No data","x",VLOOKUP($B60,'Indicator Data (national)'!$B$5:$BB$14,47,FALSE)*VLOOKUP($B60,'Indicator Data (national)'!$B$5:$BB$14,48,FALSE))</f>
        <v>9.814910769612494</v>
      </c>
      <c r="AA60" s="2">
        <f t="shared" si="11"/>
        <v>9.0185089230387501</v>
      </c>
      <c r="AB60" s="3">
        <f t="shared" si="12"/>
        <v>7.7216164848659146</v>
      </c>
      <c r="AC60" s="2">
        <f>IF(VLOOKUP($B60,'Indicator Data (national)'!$B$5:$BB$14,49,FALSE)="No data","x",IF(VLOOKUP($B60,'Indicator Data (national)'!$B$5:$BB$14,49,FALSE)&gt;AC$150,0,IF(VLOOKUP($B60,'Indicator Data (national)'!$B$5:$BB$14,49,FALSE)&lt;AC$149,10,(AC$150-VLOOKUP($B60,'Indicator Data (national)'!$B$5:$BB$14,49,FALSE))/(AC$150-AC$149)*10)))</f>
        <v>8.6440000000000001</v>
      </c>
      <c r="AD60" s="2">
        <f>IF(VLOOKUP($B60,'Indicator Data (national)'!$B$5:$BB$14,50,FALSE)="No data","x",IF(VLOOKUP($B60,'Indicator Data (national)'!$B$5:$BB$14,50,FALSE)&gt;AD$150,0,IF(VLOOKUP($B60,'Indicator Data (national)'!$B$5:$BB$14,50,FALSE)&lt;AD$149,10,(AD$150-VLOOKUP($B60,'Indicator Data (national)'!$B$5:$BB$14,50,FALSE))/(AD$150-AD$149)*10)))</f>
        <v>8.6471999999999998</v>
      </c>
      <c r="AE60" s="3">
        <f t="shared" si="13"/>
        <v>8.6456</v>
      </c>
      <c r="AF60" s="2">
        <f>IF(VLOOKUP($B60,'Indicator Data (national)'!$B$5:$BB$14,51,FALSE)="No data","x",IF(VLOOKUP($B60,'Indicator Data (national)'!$B$5:$BB$14,51,FALSE)&gt;AF$150,0,IF(VLOOKUP($B60,'Indicator Data (national)'!$B$5:$BB$14,51,FALSE)&lt;AF$149,10,(AF$150-VLOOKUP($B60,'Indicator Data (national)'!$B$5:$BB$14,51,FALSE))/(AF$150-AF$149)*10)))</f>
        <v>0</v>
      </c>
      <c r="AG60" s="2">
        <f>IF(VLOOKUP($B60,'Indicator Data (national)'!$B$5:$BB$14,52,FALSE)="No data","x",IF(VLOOKUP($B60,'Indicator Data (national)'!$B$5:$BB$14,52,FALSE)&gt;AG$150,0,IF(VLOOKUP($B60,'Indicator Data (national)'!$B$5:$BB$14,52,FALSE)&lt;AG$149,10,(AG$150-VLOOKUP($B60,'Indicator Data (national)'!$B$5:$BB$14,52,FALSE))/(AG$150-AG$149)*10)))</f>
        <v>0</v>
      </c>
      <c r="AH60" s="2">
        <f>IF(VLOOKUP($B60,'Indicator Data (national)'!$B$5:$BB$14,53,FALSE)="No data","x",IF(VLOOKUP($B60,'Indicator Data (national)'!$B$5:$BB$14,53,FALSE)&gt;AH$150,0,IF(VLOOKUP($B60,'Indicator Data (national)'!$B$5:$BB$14,53,FALSE)&lt;AH$149,10,(AH$150-VLOOKUP($B60,'Indicator Data (national)'!$B$5:$BB$14,53,FALSE))/(AH$150-AH$149)*10)))</f>
        <v>5.1780682960214941</v>
      </c>
      <c r="AI60" s="3">
        <f t="shared" si="14"/>
        <v>1.726022765340498</v>
      </c>
      <c r="AJ60" s="5">
        <f t="shared" si="17"/>
        <v>6.0310797500688045</v>
      </c>
    </row>
    <row r="61" spans="1:36" s="11" customFormat="1" x14ac:dyDescent="0.25">
      <c r="A61" s="16" t="s">
        <v>428</v>
      </c>
      <c r="B61" s="11" t="s">
        <v>576</v>
      </c>
      <c r="C61" s="126" t="s">
        <v>653</v>
      </c>
      <c r="D61" s="120">
        <f>(VLOOKUP($B61,'Indicator Data (national)'!$B$5:$AP$14,39,FALSE)+VLOOKUP($B61,'Indicator Data (national)'!$B$5:$AP$14,40,FALSE)+VLOOKUP($B61,'Indicator Data (national)'!$B$5:$AP$14,41,FALSE))/VLOOKUP($B61,'Indicator Data (national)'!$B$5:$AP$14,38,FALSE)*1000000</f>
        <v>0.3850863279901553</v>
      </c>
      <c r="E61" s="2">
        <f t="shared" si="3"/>
        <v>8.0745683600492235</v>
      </c>
      <c r="F61" s="3">
        <f t="shared" si="4"/>
        <v>8.0745683600492235</v>
      </c>
      <c r="G61" s="2">
        <f>IF(VLOOKUP($B61,'Indicator Data (national)'!$B$5:$AQ$14,30,FALSE)="No data","x",IF(VLOOKUP($B61,'Indicator Data (national)'!$B$5:$AQ$14,30,FALSE)&gt;G$150,10,IF(VLOOKUP($B61,'Indicator Data (national)'!$B$5:$AQ$14,30,FALSE)&lt;G$149,0,(G$150-VLOOKUP($B61,'Indicator Data (national)'!$B$5:$AQ$14,30,FALSE))/(G$150-G$149)*10)))</f>
        <v>7.5</v>
      </c>
      <c r="H61" s="2">
        <f>IF(VLOOKUP($B61,'Indicator Data (national)'!$B$5:$AQ$14,29,FALSE)="No data","x",IF(VLOOKUP($B61,'Indicator Data (national)'!$B$5:$AQ$14,29,FALSE)&gt;H$150,10,IF(VLOOKUP($B61,'Indicator Data (national)'!$B$5:$AQ$14,29,FALSE)&lt;H$149,0,(H$150-VLOOKUP($B61,'Indicator Data (national)'!$B$5:$AQ$14,29,FALSE))/(H$150-H$149)*10)))</f>
        <v>5.9728583693504333</v>
      </c>
      <c r="I61" s="3">
        <f t="shared" si="5"/>
        <v>6.7364291846752167</v>
      </c>
      <c r="J61" s="5">
        <f t="shared" si="6"/>
        <v>7.4054987723622201</v>
      </c>
      <c r="K61" s="2">
        <f>IF(VLOOKUP($B61,'Indicator Data (national)'!$B$5:$AQ$14,33,FALSE)="No data","x",IF(VLOOKUP($B61,'Indicator Data (national)'!$B$5:$AQ$14,33,FALSE)&gt;K$150,10,IF(VLOOKUP($B61,'Indicator Data (national)'!$B$5:$AQ$14,33,FALSE)&lt;K$149,0,(K$150-VLOOKUP($B61,'Indicator Data (national)'!$B$5:$AQ$14,33,FALSE))/(K$150-K$149)*10)))</f>
        <v>2.2000000000000002</v>
      </c>
      <c r="L61" s="2">
        <f>IF(VLOOKUP($B61,'Indicator Data (national)'!$B$5:$AQ$14,34,FALSE)="No data","x",IF(VLOOKUP($B61,'Indicator Data (national)'!$B$5:$AQ$14,34,FALSE)&gt;L$150,10,IF(VLOOKUP($B61,'Indicator Data (national)'!$B$5:$AQ$14,34,FALSE)&lt;L$149,0,(L$150-VLOOKUP($B61,'Indicator Data (national)'!$B$5:$AQ$14,34,FALSE))/(L$150-L$149)*10)))</f>
        <v>2.8235954477835907</v>
      </c>
      <c r="M61" s="3">
        <f t="shared" si="7"/>
        <v>2.5117977238917955</v>
      </c>
      <c r="N61" s="2">
        <f>IF(VLOOKUP($B61,'Indicator Data (national)'!$B$5:$AS$14,44,FALSE)="No data","x",IF(VLOOKUP($B61,'Indicator Data (national)'!$B$5:$AS$14,44,FALSE)&gt;N$150,10,IF(VLOOKUP($B61,'Indicator Data (national)'!$B$5:$AS$14,44,FALSE)&lt;N$149,0,10-(N$150-VLOOKUP($B61,'Indicator Data (national)'!$B$5:$AS$14,44,FALSE))/(N$150-N$149)*10)))</f>
        <v>3.9000000000000004</v>
      </c>
      <c r="O61" s="2">
        <f>IF(VLOOKUP($B61,'Indicator Data (national)'!$B$5:$AS$14,42,FALSE)="No data","x",IF(VLOOKUP($B61,'Indicator Data (national)'!$B$5:$AS$14,42,FALSE)&gt;O$150,0,IF(VLOOKUP($B61,'Indicator Data (national)'!$B$5:$AS$14,42,FALSE)&lt;O$149,10,(O$150-VLOOKUP($B61,'Indicator Data (national)'!$B$5:$AS$14,42,FALSE))/(O$150-O$149)*10)))</f>
        <v>9.3507578421680311</v>
      </c>
      <c r="P61" s="158">
        <f t="shared" si="8"/>
        <v>6.6253789210840157</v>
      </c>
      <c r="Q61" s="2">
        <f>IF(VLOOKUP($B61,'Indicator Data (national)'!$B$5:$Q$14,16,FALSE)="No data","x",IF(VLOOKUP($B61,'Indicator Data (national)'!$B$5:$Q$14,16,FALSE)&gt;Q$150,0,IF(VLOOKUP($B61,'Indicator Data (national)'!$B$5:$Q$14,16,FALSE)&lt;Q$149,10,(Q$150-VLOOKUP($B61,'Indicator Data (national)'!$B$5:$Q$14,16,FALSE))/(Q$150-Q$149)*10)))</f>
        <v>8.1999999999999993</v>
      </c>
      <c r="R61" s="158">
        <f t="shared" si="9"/>
        <v>8.1999999999999993</v>
      </c>
      <c r="S61" s="3">
        <f t="shared" si="15"/>
        <v>7.4126894605420075</v>
      </c>
      <c r="T61" s="2">
        <f>IF(VLOOKUP($B61,'Indicator Data (national)'!$B$5:$BC$14,43,FALSE)="No data","x",IF(VLOOKUP($B61,'Indicator Data (national)'!$B$5:$BC$14,43,FALSE)&gt;T$150,10,IF(VLOOKUP($B61,'Indicator Data (national)'!$B$5:$BC$14,43,FALSE)&lt;T$149,0,(T$150-VLOOKUP($B61,'Indicator Data (national)'!$B$5:$BC$14,43,FALSE))/(T$150-T$149)*10)))</f>
        <v>9.8647237723687979</v>
      </c>
      <c r="U61" s="3">
        <f t="shared" si="10"/>
        <v>9.8647237723687979</v>
      </c>
      <c r="V61" s="5">
        <f t="shared" si="16"/>
        <v>6.5964036522675329</v>
      </c>
      <c r="W61" s="2">
        <f>IF(VLOOKUP($B61,'Indicator Data (national)'!$B$5:$AS$14,37,FALSE)="No data","x",IF(VLOOKUP($B61,'Indicator Data (national)'!$B$5:$AS$14,37,FALSE)&gt;W$150,10,IF(VLOOKUP($B61,'Indicator Data (national)'!$B$5:$AS$14,37,FALSE)&lt;W$149,0,(LOG(W$150)-LOG(VLOOKUP($B61,'Indicator Data (national)'!$B$5:$AS$14,37,FALSE)))/(LOG(W$150)-LOG(W$149))*10)))</f>
        <v>7.6457347942026841</v>
      </c>
      <c r="X61" s="2">
        <f>IF(VLOOKUP($B61,'Indicator Data (national)'!$B$5:$BB$14,45,FALSE)="No data","x",IF(VLOOKUP($B61,'Indicator Data (national)'!$B$5:$BB$14,45,FALSE)&gt;X$150,10,IF(VLOOKUP($B61,'Indicator Data (national)'!$B$5:$BB$14,45,FALSE)&lt;X$149,0,10-(X$150-VLOOKUP($B61,'Indicator Data (national)'!$B$5:$BB$14,45,FALSE))/(X$150-X$149)*10)))</f>
        <v>6.2222222222222223</v>
      </c>
      <c r="Y61" s="2">
        <f>IF(VLOOKUP($B61,'Indicator Data (national)'!$B$5:$BB$14,46,FALSE)="No data","x",IF(VLOOKUP($B61,'Indicator Data (national)'!$B$5:$BB$14,46,FALSE)&gt;Y$150,10,IF(VLOOKUP($B61,'Indicator Data (national)'!$B$5:$BB$14,46,FALSE)&lt;Y$149,0,(Y$150-VLOOKUP($B61,'Indicator Data (national)'!$B$5:$BB$14,46,FALSE))/(Y$150-Y$149)*10)))</f>
        <v>8</v>
      </c>
      <c r="Z61" s="156">
        <f>IF(VLOOKUP($B61,'Indicator Data (national)'!$B$5:$BB$14,48,FALSE)="No data","x",VLOOKUP($B61,'Indicator Data (national)'!$B$5:$BB$14,47,FALSE)*VLOOKUP($B61,'Indicator Data (national)'!$B$5:$BB$14,48,FALSE))</f>
        <v>9.814910769612494</v>
      </c>
      <c r="AA61" s="2">
        <f t="shared" si="11"/>
        <v>9.0185089230387501</v>
      </c>
      <c r="AB61" s="3">
        <f t="shared" si="12"/>
        <v>7.7216164848659146</v>
      </c>
      <c r="AC61" s="2">
        <f>IF(VLOOKUP($B61,'Indicator Data (national)'!$B$5:$BB$14,49,FALSE)="No data","x",IF(VLOOKUP($B61,'Indicator Data (national)'!$B$5:$BB$14,49,FALSE)&gt;AC$150,0,IF(VLOOKUP($B61,'Indicator Data (national)'!$B$5:$BB$14,49,FALSE)&lt;AC$149,10,(AC$150-VLOOKUP($B61,'Indicator Data (national)'!$B$5:$BB$14,49,FALSE))/(AC$150-AC$149)*10)))</f>
        <v>8.6440000000000001</v>
      </c>
      <c r="AD61" s="2">
        <f>IF(VLOOKUP($B61,'Indicator Data (national)'!$B$5:$BB$14,50,FALSE)="No data","x",IF(VLOOKUP($B61,'Indicator Data (national)'!$B$5:$BB$14,50,FALSE)&gt;AD$150,0,IF(VLOOKUP($B61,'Indicator Data (national)'!$B$5:$BB$14,50,FALSE)&lt;AD$149,10,(AD$150-VLOOKUP($B61,'Indicator Data (national)'!$B$5:$BB$14,50,FALSE))/(AD$150-AD$149)*10)))</f>
        <v>8.6471999999999998</v>
      </c>
      <c r="AE61" s="3">
        <f t="shared" si="13"/>
        <v>8.6456</v>
      </c>
      <c r="AF61" s="2">
        <f>IF(VLOOKUP($B61,'Indicator Data (national)'!$B$5:$BB$14,51,FALSE)="No data","x",IF(VLOOKUP($B61,'Indicator Data (national)'!$B$5:$BB$14,51,FALSE)&gt;AF$150,0,IF(VLOOKUP($B61,'Indicator Data (national)'!$B$5:$BB$14,51,FALSE)&lt;AF$149,10,(AF$150-VLOOKUP($B61,'Indicator Data (national)'!$B$5:$BB$14,51,FALSE))/(AF$150-AF$149)*10)))</f>
        <v>0</v>
      </c>
      <c r="AG61" s="2">
        <f>IF(VLOOKUP($B61,'Indicator Data (national)'!$B$5:$BB$14,52,FALSE)="No data","x",IF(VLOOKUP($B61,'Indicator Data (national)'!$B$5:$BB$14,52,FALSE)&gt;AG$150,0,IF(VLOOKUP($B61,'Indicator Data (national)'!$B$5:$BB$14,52,FALSE)&lt;AG$149,10,(AG$150-VLOOKUP($B61,'Indicator Data (national)'!$B$5:$BB$14,52,FALSE))/(AG$150-AG$149)*10)))</f>
        <v>0</v>
      </c>
      <c r="AH61" s="2">
        <f>IF(VLOOKUP($B61,'Indicator Data (national)'!$B$5:$BB$14,53,FALSE)="No data","x",IF(VLOOKUP($B61,'Indicator Data (national)'!$B$5:$BB$14,53,FALSE)&gt;AH$150,0,IF(VLOOKUP($B61,'Indicator Data (national)'!$B$5:$BB$14,53,FALSE)&lt;AH$149,10,(AH$150-VLOOKUP($B61,'Indicator Data (national)'!$B$5:$BB$14,53,FALSE))/(AH$150-AH$149)*10)))</f>
        <v>5.1780682960214941</v>
      </c>
      <c r="AI61" s="3">
        <f t="shared" si="14"/>
        <v>1.726022765340498</v>
      </c>
      <c r="AJ61" s="5">
        <f t="shared" si="17"/>
        <v>6.0310797500688045</v>
      </c>
    </row>
    <row r="62" spans="1:36" s="11" customFormat="1" x14ac:dyDescent="0.25">
      <c r="A62" s="16" t="s">
        <v>429</v>
      </c>
      <c r="B62" s="11" t="s">
        <v>576</v>
      </c>
      <c r="C62" s="126" t="s">
        <v>654</v>
      </c>
      <c r="D62" s="120">
        <f>(VLOOKUP($B62,'Indicator Data (national)'!$B$5:$AP$14,39,FALSE)+VLOOKUP($B62,'Indicator Data (national)'!$B$5:$AP$14,40,FALSE)+VLOOKUP($B62,'Indicator Data (national)'!$B$5:$AP$14,41,FALSE))/VLOOKUP($B62,'Indicator Data (national)'!$B$5:$AP$14,38,FALSE)*1000000</f>
        <v>0.3850863279901553</v>
      </c>
      <c r="E62" s="2">
        <f t="shared" si="3"/>
        <v>8.0745683600492235</v>
      </c>
      <c r="F62" s="3">
        <f t="shared" si="4"/>
        <v>8.0745683600492235</v>
      </c>
      <c r="G62" s="2">
        <f>IF(VLOOKUP($B62,'Indicator Data (national)'!$B$5:$AQ$14,30,FALSE)="No data","x",IF(VLOOKUP($B62,'Indicator Data (national)'!$B$5:$AQ$14,30,FALSE)&gt;G$150,10,IF(VLOOKUP($B62,'Indicator Data (national)'!$B$5:$AQ$14,30,FALSE)&lt;G$149,0,(G$150-VLOOKUP($B62,'Indicator Data (national)'!$B$5:$AQ$14,30,FALSE))/(G$150-G$149)*10)))</f>
        <v>7.5</v>
      </c>
      <c r="H62" s="2">
        <f>IF(VLOOKUP($B62,'Indicator Data (national)'!$B$5:$AQ$14,29,FALSE)="No data","x",IF(VLOOKUP($B62,'Indicator Data (national)'!$B$5:$AQ$14,29,FALSE)&gt;H$150,10,IF(VLOOKUP($B62,'Indicator Data (national)'!$B$5:$AQ$14,29,FALSE)&lt;H$149,0,(H$150-VLOOKUP($B62,'Indicator Data (national)'!$B$5:$AQ$14,29,FALSE))/(H$150-H$149)*10)))</f>
        <v>5.9728583693504333</v>
      </c>
      <c r="I62" s="3">
        <f t="shared" si="5"/>
        <v>6.7364291846752167</v>
      </c>
      <c r="J62" s="5">
        <f t="shared" si="6"/>
        <v>7.4054987723622201</v>
      </c>
      <c r="K62" s="2">
        <f>IF(VLOOKUP($B62,'Indicator Data (national)'!$B$5:$AQ$14,33,FALSE)="No data","x",IF(VLOOKUP($B62,'Indicator Data (national)'!$B$5:$AQ$14,33,FALSE)&gt;K$150,10,IF(VLOOKUP($B62,'Indicator Data (national)'!$B$5:$AQ$14,33,FALSE)&lt;K$149,0,(K$150-VLOOKUP($B62,'Indicator Data (national)'!$B$5:$AQ$14,33,FALSE))/(K$150-K$149)*10)))</f>
        <v>2.2000000000000002</v>
      </c>
      <c r="L62" s="2">
        <f>IF(VLOOKUP($B62,'Indicator Data (national)'!$B$5:$AQ$14,34,FALSE)="No data","x",IF(VLOOKUP($B62,'Indicator Data (national)'!$B$5:$AQ$14,34,FALSE)&gt;L$150,10,IF(VLOOKUP($B62,'Indicator Data (national)'!$B$5:$AQ$14,34,FALSE)&lt;L$149,0,(L$150-VLOOKUP($B62,'Indicator Data (national)'!$B$5:$AQ$14,34,FALSE))/(L$150-L$149)*10)))</f>
        <v>2.8235954477835907</v>
      </c>
      <c r="M62" s="3">
        <f t="shared" si="7"/>
        <v>2.5117977238917955</v>
      </c>
      <c r="N62" s="2">
        <f>IF(VLOOKUP($B62,'Indicator Data (national)'!$B$5:$AS$14,44,FALSE)="No data","x",IF(VLOOKUP($B62,'Indicator Data (national)'!$B$5:$AS$14,44,FALSE)&gt;N$150,10,IF(VLOOKUP($B62,'Indicator Data (national)'!$B$5:$AS$14,44,FALSE)&lt;N$149,0,10-(N$150-VLOOKUP($B62,'Indicator Data (national)'!$B$5:$AS$14,44,FALSE))/(N$150-N$149)*10)))</f>
        <v>3.9000000000000004</v>
      </c>
      <c r="O62" s="2">
        <f>IF(VLOOKUP($B62,'Indicator Data (national)'!$B$5:$AS$14,42,FALSE)="No data","x",IF(VLOOKUP($B62,'Indicator Data (national)'!$B$5:$AS$14,42,FALSE)&gt;O$150,0,IF(VLOOKUP($B62,'Indicator Data (national)'!$B$5:$AS$14,42,FALSE)&lt;O$149,10,(O$150-VLOOKUP($B62,'Indicator Data (national)'!$B$5:$AS$14,42,FALSE))/(O$150-O$149)*10)))</f>
        <v>9.3507578421680311</v>
      </c>
      <c r="P62" s="158">
        <f t="shared" si="8"/>
        <v>6.6253789210840157</v>
      </c>
      <c r="Q62" s="2">
        <f>IF(VLOOKUP($B62,'Indicator Data (national)'!$B$5:$Q$14,16,FALSE)="No data","x",IF(VLOOKUP($B62,'Indicator Data (national)'!$B$5:$Q$14,16,FALSE)&gt;Q$150,0,IF(VLOOKUP($B62,'Indicator Data (national)'!$B$5:$Q$14,16,FALSE)&lt;Q$149,10,(Q$150-VLOOKUP($B62,'Indicator Data (national)'!$B$5:$Q$14,16,FALSE))/(Q$150-Q$149)*10)))</f>
        <v>8.1999999999999993</v>
      </c>
      <c r="R62" s="158">
        <f t="shared" si="9"/>
        <v>8.1999999999999993</v>
      </c>
      <c r="S62" s="3">
        <f t="shared" si="15"/>
        <v>7.4126894605420075</v>
      </c>
      <c r="T62" s="2">
        <f>IF(VLOOKUP($B62,'Indicator Data (national)'!$B$5:$BC$14,43,FALSE)="No data","x",IF(VLOOKUP($B62,'Indicator Data (national)'!$B$5:$BC$14,43,FALSE)&gt;T$150,10,IF(VLOOKUP($B62,'Indicator Data (national)'!$B$5:$BC$14,43,FALSE)&lt;T$149,0,(T$150-VLOOKUP($B62,'Indicator Data (national)'!$B$5:$BC$14,43,FALSE))/(T$150-T$149)*10)))</f>
        <v>9.8647237723687979</v>
      </c>
      <c r="U62" s="3">
        <f t="shared" si="10"/>
        <v>9.8647237723687979</v>
      </c>
      <c r="V62" s="5">
        <f t="shared" si="16"/>
        <v>6.5964036522675329</v>
      </c>
      <c r="W62" s="2">
        <f>IF(VLOOKUP($B62,'Indicator Data (national)'!$B$5:$AS$14,37,FALSE)="No data","x",IF(VLOOKUP($B62,'Indicator Data (national)'!$B$5:$AS$14,37,FALSE)&gt;W$150,10,IF(VLOOKUP($B62,'Indicator Data (national)'!$B$5:$AS$14,37,FALSE)&lt;W$149,0,(LOG(W$150)-LOG(VLOOKUP($B62,'Indicator Data (national)'!$B$5:$AS$14,37,FALSE)))/(LOG(W$150)-LOG(W$149))*10)))</f>
        <v>7.6457347942026841</v>
      </c>
      <c r="X62" s="2">
        <f>IF(VLOOKUP($B62,'Indicator Data (national)'!$B$5:$BB$14,45,FALSE)="No data","x",IF(VLOOKUP($B62,'Indicator Data (national)'!$B$5:$BB$14,45,FALSE)&gt;X$150,10,IF(VLOOKUP($B62,'Indicator Data (national)'!$B$5:$BB$14,45,FALSE)&lt;X$149,0,10-(X$150-VLOOKUP($B62,'Indicator Data (national)'!$B$5:$BB$14,45,FALSE))/(X$150-X$149)*10)))</f>
        <v>6.2222222222222223</v>
      </c>
      <c r="Y62" s="2">
        <f>IF(VLOOKUP($B62,'Indicator Data (national)'!$B$5:$BB$14,46,FALSE)="No data","x",IF(VLOOKUP($B62,'Indicator Data (national)'!$B$5:$BB$14,46,FALSE)&gt;Y$150,10,IF(VLOOKUP($B62,'Indicator Data (national)'!$B$5:$BB$14,46,FALSE)&lt;Y$149,0,(Y$150-VLOOKUP($B62,'Indicator Data (national)'!$B$5:$BB$14,46,FALSE))/(Y$150-Y$149)*10)))</f>
        <v>8</v>
      </c>
      <c r="Z62" s="156">
        <f>IF(VLOOKUP($B62,'Indicator Data (national)'!$B$5:$BB$14,48,FALSE)="No data","x",VLOOKUP($B62,'Indicator Data (national)'!$B$5:$BB$14,47,FALSE)*VLOOKUP($B62,'Indicator Data (national)'!$B$5:$BB$14,48,FALSE))</f>
        <v>9.814910769612494</v>
      </c>
      <c r="AA62" s="2">
        <f t="shared" si="11"/>
        <v>9.0185089230387501</v>
      </c>
      <c r="AB62" s="3">
        <f t="shared" si="12"/>
        <v>7.7216164848659146</v>
      </c>
      <c r="AC62" s="2">
        <f>IF(VLOOKUP($B62,'Indicator Data (national)'!$B$5:$BB$14,49,FALSE)="No data","x",IF(VLOOKUP($B62,'Indicator Data (national)'!$B$5:$BB$14,49,FALSE)&gt;AC$150,0,IF(VLOOKUP($B62,'Indicator Data (national)'!$B$5:$BB$14,49,FALSE)&lt;AC$149,10,(AC$150-VLOOKUP($B62,'Indicator Data (national)'!$B$5:$BB$14,49,FALSE))/(AC$150-AC$149)*10)))</f>
        <v>8.6440000000000001</v>
      </c>
      <c r="AD62" s="2">
        <f>IF(VLOOKUP($B62,'Indicator Data (national)'!$B$5:$BB$14,50,FALSE)="No data","x",IF(VLOOKUP($B62,'Indicator Data (national)'!$B$5:$BB$14,50,FALSE)&gt;AD$150,0,IF(VLOOKUP($B62,'Indicator Data (national)'!$B$5:$BB$14,50,FALSE)&lt;AD$149,10,(AD$150-VLOOKUP($B62,'Indicator Data (national)'!$B$5:$BB$14,50,FALSE))/(AD$150-AD$149)*10)))</f>
        <v>8.6471999999999998</v>
      </c>
      <c r="AE62" s="3">
        <f t="shared" si="13"/>
        <v>8.6456</v>
      </c>
      <c r="AF62" s="2">
        <f>IF(VLOOKUP($B62,'Indicator Data (national)'!$B$5:$BB$14,51,FALSE)="No data","x",IF(VLOOKUP($B62,'Indicator Data (national)'!$B$5:$BB$14,51,FALSE)&gt;AF$150,0,IF(VLOOKUP($B62,'Indicator Data (national)'!$B$5:$BB$14,51,FALSE)&lt;AF$149,10,(AF$150-VLOOKUP($B62,'Indicator Data (national)'!$B$5:$BB$14,51,FALSE))/(AF$150-AF$149)*10)))</f>
        <v>0</v>
      </c>
      <c r="AG62" s="2">
        <f>IF(VLOOKUP($B62,'Indicator Data (national)'!$B$5:$BB$14,52,FALSE)="No data","x",IF(VLOOKUP($B62,'Indicator Data (national)'!$B$5:$BB$14,52,FALSE)&gt;AG$150,0,IF(VLOOKUP($B62,'Indicator Data (national)'!$B$5:$BB$14,52,FALSE)&lt;AG$149,10,(AG$150-VLOOKUP($B62,'Indicator Data (national)'!$B$5:$BB$14,52,FALSE))/(AG$150-AG$149)*10)))</f>
        <v>0</v>
      </c>
      <c r="AH62" s="2">
        <f>IF(VLOOKUP($B62,'Indicator Data (national)'!$B$5:$BB$14,53,FALSE)="No data","x",IF(VLOOKUP($B62,'Indicator Data (national)'!$B$5:$BB$14,53,FALSE)&gt;AH$150,0,IF(VLOOKUP($B62,'Indicator Data (national)'!$B$5:$BB$14,53,FALSE)&lt;AH$149,10,(AH$150-VLOOKUP($B62,'Indicator Data (national)'!$B$5:$BB$14,53,FALSE))/(AH$150-AH$149)*10)))</f>
        <v>5.1780682960214941</v>
      </c>
      <c r="AI62" s="3">
        <f t="shared" si="14"/>
        <v>1.726022765340498</v>
      </c>
      <c r="AJ62" s="5">
        <f t="shared" si="17"/>
        <v>6.0310797500688045</v>
      </c>
    </row>
    <row r="63" spans="1:36" s="11" customFormat="1" x14ac:dyDescent="0.25">
      <c r="A63" s="16" t="s">
        <v>430</v>
      </c>
      <c r="B63" s="11" t="s">
        <v>576</v>
      </c>
      <c r="C63" s="126" t="s">
        <v>655</v>
      </c>
      <c r="D63" s="120">
        <f>(VLOOKUP($B63,'Indicator Data (national)'!$B$5:$AP$14,39,FALSE)+VLOOKUP($B63,'Indicator Data (national)'!$B$5:$AP$14,40,FALSE)+VLOOKUP($B63,'Indicator Data (national)'!$B$5:$AP$14,41,FALSE))/VLOOKUP($B63,'Indicator Data (national)'!$B$5:$AP$14,38,FALSE)*1000000</f>
        <v>0.3850863279901553</v>
      </c>
      <c r="E63" s="2">
        <f t="shared" si="3"/>
        <v>8.0745683600492235</v>
      </c>
      <c r="F63" s="3">
        <f t="shared" si="4"/>
        <v>8.0745683600492235</v>
      </c>
      <c r="G63" s="2">
        <f>IF(VLOOKUP($B63,'Indicator Data (national)'!$B$5:$AQ$14,30,FALSE)="No data","x",IF(VLOOKUP($B63,'Indicator Data (national)'!$B$5:$AQ$14,30,FALSE)&gt;G$150,10,IF(VLOOKUP($B63,'Indicator Data (national)'!$B$5:$AQ$14,30,FALSE)&lt;G$149,0,(G$150-VLOOKUP($B63,'Indicator Data (national)'!$B$5:$AQ$14,30,FALSE))/(G$150-G$149)*10)))</f>
        <v>7.5</v>
      </c>
      <c r="H63" s="2">
        <f>IF(VLOOKUP($B63,'Indicator Data (national)'!$B$5:$AQ$14,29,FALSE)="No data","x",IF(VLOOKUP($B63,'Indicator Data (national)'!$B$5:$AQ$14,29,FALSE)&gt;H$150,10,IF(VLOOKUP($B63,'Indicator Data (national)'!$B$5:$AQ$14,29,FALSE)&lt;H$149,0,(H$150-VLOOKUP($B63,'Indicator Data (national)'!$B$5:$AQ$14,29,FALSE))/(H$150-H$149)*10)))</f>
        <v>5.9728583693504333</v>
      </c>
      <c r="I63" s="3">
        <f t="shared" si="5"/>
        <v>6.7364291846752167</v>
      </c>
      <c r="J63" s="5">
        <f t="shared" si="6"/>
        <v>7.4054987723622201</v>
      </c>
      <c r="K63" s="2">
        <f>IF(VLOOKUP($B63,'Indicator Data (national)'!$B$5:$AQ$14,33,FALSE)="No data","x",IF(VLOOKUP($B63,'Indicator Data (national)'!$B$5:$AQ$14,33,FALSE)&gt;K$150,10,IF(VLOOKUP($B63,'Indicator Data (national)'!$B$5:$AQ$14,33,FALSE)&lt;K$149,0,(K$150-VLOOKUP($B63,'Indicator Data (national)'!$B$5:$AQ$14,33,FALSE))/(K$150-K$149)*10)))</f>
        <v>2.2000000000000002</v>
      </c>
      <c r="L63" s="2">
        <f>IF(VLOOKUP($B63,'Indicator Data (national)'!$B$5:$AQ$14,34,FALSE)="No data","x",IF(VLOOKUP($B63,'Indicator Data (national)'!$B$5:$AQ$14,34,FALSE)&gt;L$150,10,IF(VLOOKUP($B63,'Indicator Data (national)'!$B$5:$AQ$14,34,FALSE)&lt;L$149,0,(L$150-VLOOKUP($B63,'Indicator Data (national)'!$B$5:$AQ$14,34,FALSE))/(L$150-L$149)*10)))</f>
        <v>2.8235954477835907</v>
      </c>
      <c r="M63" s="3">
        <f t="shared" si="7"/>
        <v>2.5117977238917955</v>
      </c>
      <c r="N63" s="2">
        <f>IF(VLOOKUP($B63,'Indicator Data (national)'!$B$5:$AS$14,44,FALSE)="No data","x",IF(VLOOKUP($B63,'Indicator Data (national)'!$B$5:$AS$14,44,FALSE)&gt;N$150,10,IF(VLOOKUP($B63,'Indicator Data (national)'!$B$5:$AS$14,44,FALSE)&lt;N$149,0,10-(N$150-VLOOKUP($B63,'Indicator Data (national)'!$B$5:$AS$14,44,FALSE))/(N$150-N$149)*10)))</f>
        <v>3.9000000000000004</v>
      </c>
      <c r="O63" s="2">
        <f>IF(VLOOKUP($B63,'Indicator Data (national)'!$B$5:$AS$14,42,FALSE)="No data","x",IF(VLOOKUP($B63,'Indicator Data (national)'!$B$5:$AS$14,42,FALSE)&gt;O$150,0,IF(VLOOKUP($B63,'Indicator Data (national)'!$B$5:$AS$14,42,FALSE)&lt;O$149,10,(O$150-VLOOKUP($B63,'Indicator Data (national)'!$B$5:$AS$14,42,FALSE))/(O$150-O$149)*10)))</f>
        <v>9.3507578421680311</v>
      </c>
      <c r="P63" s="158">
        <f t="shared" si="8"/>
        <v>6.6253789210840157</v>
      </c>
      <c r="Q63" s="2">
        <f>IF(VLOOKUP($B63,'Indicator Data (national)'!$B$5:$Q$14,16,FALSE)="No data","x",IF(VLOOKUP($B63,'Indicator Data (national)'!$B$5:$Q$14,16,FALSE)&gt;Q$150,0,IF(VLOOKUP($B63,'Indicator Data (national)'!$B$5:$Q$14,16,FALSE)&lt;Q$149,10,(Q$150-VLOOKUP($B63,'Indicator Data (national)'!$B$5:$Q$14,16,FALSE))/(Q$150-Q$149)*10)))</f>
        <v>8.1999999999999993</v>
      </c>
      <c r="R63" s="158">
        <f t="shared" si="9"/>
        <v>8.1999999999999993</v>
      </c>
      <c r="S63" s="3">
        <f t="shared" si="15"/>
        <v>7.4126894605420075</v>
      </c>
      <c r="T63" s="2">
        <f>IF(VLOOKUP($B63,'Indicator Data (national)'!$B$5:$BC$14,43,FALSE)="No data","x",IF(VLOOKUP($B63,'Indicator Data (national)'!$B$5:$BC$14,43,FALSE)&gt;T$150,10,IF(VLOOKUP($B63,'Indicator Data (national)'!$B$5:$BC$14,43,FALSE)&lt;T$149,0,(T$150-VLOOKUP($B63,'Indicator Data (national)'!$B$5:$BC$14,43,FALSE))/(T$150-T$149)*10)))</f>
        <v>9.8647237723687979</v>
      </c>
      <c r="U63" s="3">
        <f t="shared" si="10"/>
        <v>9.8647237723687979</v>
      </c>
      <c r="V63" s="5">
        <f t="shared" si="16"/>
        <v>6.5964036522675329</v>
      </c>
      <c r="W63" s="2">
        <f>IF(VLOOKUP($B63,'Indicator Data (national)'!$B$5:$AS$14,37,FALSE)="No data","x",IF(VLOOKUP($B63,'Indicator Data (national)'!$B$5:$AS$14,37,FALSE)&gt;W$150,10,IF(VLOOKUP($B63,'Indicator Data (national)'!$B$5:$AS$14,37,FALSE)&lt;W$149,0,(LOG(W$150)-LOG(VLOOKUP($B63,'Indicator Data (national)'!$B$5:$AS$14,37,FALSE)))/(LOG(W$150)-LOG(W$149))*10)))</f>
        <v>7.6457347942026841</v>
      </c>
      <c r="X63" s="2">
        <f>IF(VLOOKUP($B63,'Indicator Data (national)'!$B$5:$BB$14,45,FALSE)="No data","x",IF(VLOOKUP($B63,'Indicator Data (national)'!$B$5:$BB$14,45,FALSE)&gt;X$150,10,IF(VLOOKUP($B63,'Indicator Data (national)'!$B$5:$BB$14,45,FALSE)&lt;X$149,0,10-(X$150-VLOOKUP($B63,'Indicator Data (national)'!$B$5:$BB$14,45,FALSE))/(X$150-X$149)*10)))</f>
        <v>6.2222222222222223</v>
      </c>
      <c r="Y63" s="2">
        <f>IF(VLOOKUP($B63,'Indicator Data (national)'!$B$5:$BB$14,46,FALSE)="No data","x",IF(VLOOKUP($B63,'Indicator Data (national)'!$B$5:$BB$14,46,FALSE)&gt;Y$150,10,IF(VLOOKUP($B63,'Indicator Data (national)'!$B$5:$BB$14,46,FALSE)&lt;Y$149,0,(Y$150-VLOOKUP($B63,'Indicator Data (national)'!$B$5:$BB$14,46,FALSE))/(Y$150-Y$149)*10)))</f>
        <v>8</v>
      </c>
      <c r="Z63" s="156">
        <f>IF(VLOOKUP($B63,'Indicator Data (national)'!$B$5:$BB$14,48,FALSE)="No data","x",VLOOKUP($B63,'Indicator Data (national)'!$B$5:$BB$14,47,FALSE)*VLOOKUP($B63,'Indicator Data (national)'!$B$5:$BB$14,48,FALSE))</f>
        <v>9.814910769612494</v>
      </c>
      <c r="AA63" s="2">
        <f t="shared" si="11"/>
        <v>9.0185089230387501</v>
      </c>
      <c r="AB63" s="3">
        <f t="shared" si="12"/>
        <v>7.7216164848659146</v>
      </c>
      <c r="AC63" s="2">
        <f>IF(VLOOKUP($B63,'Indicator Data (national)'!$B$5:$BB$14,49,FALSE)="No data","x",IF(VLOOKUP($B63,'Indicator Data (national)'!$B$5:$BB$14,49,FALSE)&gt;AC$150,0,IF(VLOOKUP($B63,'Indicator Data (national)'!$B$5:$BB$14,49,FALSE)&lt;AC$149,10,(AC$150-VLOOKUP($B63,'Indicator Data (national)'!$B$5:$BB$14,49,FALSE))/(AC$150-AC$149)*10)))</f>
        <v>8.6440000000000001</v>
      </c>
      <c r="AD63" s="2">
        <f>IF(VLOOKUP($B63,'Indicator Data (national)'!$B$5:$BB$14,50,FALSE)="No data","x",IF(VLOOKUP($B63,'Indicator Data (national)'!$B$5:$BB$14,50,FALSE)&gt;AD$150,0,IF(VLOOKUP($B63,'Indicator Data (national)'!$B$5:$BB$14,50,FALSE)&lt;AD$149,10,(AD$150-VLOOKUP($B63,'Indicator Data (national)'!$B$5:$BB$14,50,FALSE))/(AD$150-AD$149)*10)))</f>
        <v>8.6471999999999998</v>
      </c>
      <c r="AE63" s="3">
        <f t="shared" si="13"/>
        <v>8.6456</v>
      </c>
      <c r="AF63" s="2">
        <f>IF(VLOOKUP($B63,'Indicator Data (national)'!$B$5:$BB$14,51,FALSE)="No data","x",IF(VLOOKUP($B63,'Indicator Data (national)'!$B$5:$BB$14,51,FALSE)&gt;AF$150,0,IF(VLOOKUP($B63,'Indicator Data (national)'!$B$5:$BB$14,51,FALSE)&lt;AF$149,10,(AF$150-VLOOKUP($B63,'Indicator Data (national)'!$B$5:$BB$14,51,FALSE))/(AF$150-AF$149)*10)))</f>
        <v>0</v>
      </c>
      <c r="AG63" s="2">
        <f>IF(VLOOKUP($B63,'Indicator Data (national)'!$B$5:$BB$14,52,FALSE)="No data","x",IF(VLOOKUP($B63,'Indicator Data (national)'!$B$5:$BB$14,52,FALSE)&gt;AG$150,0,IF(VLOOKUP($B63,'Indicator Data (national)'!$B$5:$BB$14,52,FALSE)&lt;AG$149,10,(AG$150-VLOOKUP($B63,'Indicator Data (national)'!$B$5:$BB$14,52,FALSE))/(AG$150-AG$149)*10)))</f>
        <v>0</v>
      </c>
      <c r="AH63" s="2">
        <f>IF(VLOOKUP($B63,'Indicator Data (national)'!$B$5:$BB$14,53,FALSE)="No data","x",IF(VLOOKUP($B63,'Indicator Data (national)'!$B$5:$BB$14,53,FALSE)&gt;AH$150,0,IF(VLOOKUP($B63,'Indicator Data (national)'!$B$5:$BB$14,53,FALSE)&lt;AH$149,10,(AH$150-VLOOKUP($B63,'Indicator Data (national)'!$B$5:$BB$14,53,FALSE))/(AH$150-AH$149)*10)))</f>
        <v>5.1780682960214941</v>
      </c>
      <c r="AI63" s="3">
        <f t="shared" si="14"/>
        <v>1.726022765340498</v>
      </c>
      <c r="AJ63" s="5">
        <f t="shared" si="17"/>
        <v>6.0310797500688045</v>
      </c>
    </row>
    <row r="64" spans="1:36" s="11" customFormat="1" x14ac:dyDescent="0.25">
      <c r="A64" s="16" t="s">
        <v>431</v>
      </c>
      <c r="B64" s="11" t="s">
        <v>576</v>
      </c>
      <c r="C64" s="126" t="s">
        <v>656</v>
      </c>
      <c r="D64" s="120">
        <f>(VLOOKUP($B64,'Indicator Data (national)'!$B$5:$AP$14,39,FALSE)+VLOOKUP($B64,'Indicator Data (national)'!$B$5:$AP$14,40,FALSE)+VLOOKUP($B64,'Indicator Data (national)'!$B$5:$AP$14,41,FALSE))/VLOOKUP($B64,'Indicator Data (national)'!$B$5:$AP$14,38,FALSE)*1000000</f>
        <v>0.3850863279901553</v>
      </c>
      <c r="E64" s="2">
        <f t="shared" si="3"/>
        <v>8.0745683600492235</v>
      </c>
      <c r="F64" s="3">
        <f t="shared" si="4"/>
        <v>8.0745683600492235</v>
      </c>
      <c r="G64" s="2">
        <f>IF(VLOOKUP($B64,'Indicator Data (national)'!$B$5:$AQ$14,30,FALSE)="No data","x",IF(VLOOKUP($B64,'Indicator Data (national)'!$B$5:$AQ$14,30,FALSE)&gt;G$150,10,IF(VLOOKUP($B64,'Indicator Data (national)'!$B$5:$AQ$14,30,FALSE)&lt;G$149,0,(G$150-VLOOKUP($B64,'Indicator Data (national)'!$B$5:$AQ$14,30,FALSE))/(G$150-G$149)*10)))</f>
        <v>7.5</v>
      </c>
      <c r="H64" s="2">
        <f>IF(VLOOKUP($B64,'Indicator Data (national)'!$B$5:$AQ$14,29,FALSE)="No data","x",IF(VLOOKUP($B64,'Indicator Data (national)'!$B$5:$AQ$14,29,FALSE)&gt;H$150,10,IF(VLOOKUP($B64,'Indicator Data (national)'!$B$5:$AQ$14,29,FALSE)&lt;H$149,0,(H$150-VLOOKUP($B64,'Indicator Data (national)'!$B$5:$AQ$14,29,FALSE))/(H$150-H$149)*10)))</f>
        <v>5.9728583693504333</v>
      </c>
      <c r="I64" s="3">
        <f t="shared" si="5"/>
        <v>6.7364291846752167</v>
      </c>
      <c r="J64" s="5">
        <f t="shared" si="6"/>
        <v>7.4054987723622201</v>
      </c>
      <c r="K64" s="2">
        <f>IF(VLOOKUP($B64,'Indicator Data (national)'!$B$5:$AQ$14,33,FALSE)="No data","x",IF(VLOOKUP($B64,'Indicator Data (national)'!$B$5:$AQ$14,33,FALSE)&gt;K$150,10,IF(VLOOKUP($B64,'Indicator Data (national)'!$B$5:$AQ$14,33,FALSE)&lt;K$149,0,(K$150-VLOOKUP($B64,'Indicator Data (national)'!$B$5:$AQ$14,33,FALSE))/(K$150-K$149)*10)))</f>
        <v>2.2000000000000002</v>
      </c>
      <c r="L64" s="2">
        <f>IF(VLOOKUP($B64,'Indicator Data (national)'!$B$5:$AQ$14,34,FALSE)="No data","x",IF(VLOOKUP($B64,'Indicator Data (national)'!$B$5:$AQ$14,34,FALSE)&gt;L$150,10,IF(VLOOKUP($B64,'Indicator Data (national)'!$B$5:$AQ$14,34,FALSE)&lt;L$149,0,(L$150-VLOOKUP($B64,'Indicator Data (national)'!$B$5:$AQ$14,34,FALSE))/(L$150-L$149)*10)))</f>
        <v>2.8235954477835907</v>
      </c>
      <c r="M64" s="3">
        <f t="shared" si="7"/>
        <v>2.5117977238917955</v>
      </c>
      <c r="N64" s="2">
        <f>IF(VLOOKUP($B64,'Indicator Data (national)'!$B$5:$AS$14,44,FALSE)="No data","x",IF(VLOOKUP($B64,'Indicator Data (national)'!$B$5:$AS$14,44,FALSE)&gt;N$150,10,IF(VLOOKUP($B64,'Indicator Data (national)'!$B$5:$AS$14,44,FALSE)&lt;N$149,0,10-(N$150-VLOOKUP($B64,'Indicator Data (national)'!$B$5:$AS$14,44,FALSE))/(N$150-N$149)*10)))</f>
        <v>3.9000000000000004</v>
      </c>
      <c r="O64" s="2">
        <f>IF(VLOOKUP($B64,'Indicator Data (national)'!$B$5:$AS$14,42,FALSE)="No data","x",IF(VLOOKUP($B64,'Indicator Data (national)'!$B$5:$AS$14,42,FALSE)&gt;O$150,0,IF(VLOOKUP($B64,'Indicator Data (national)'!$B$5:$AS$14,42,FALSE)&lt;O$149,10,(O$150-VLOOKUP($B64,'Indicator Data (national)'!$B$5:$AS$14,42,FALSE))/(O$150-O$149)*10)))</f>
        <v>9.3507578421680311</v>
      </c>
      <c r="P64" s="158">
        <f t="shared" si="8"/>
        <v>6.6253789210840157</v>
      </c>
      <c r="Q64" s="2">
        <f>IF(VLOOKUP($B64,'Indicator Data (national)'!$B$5:$Q$14,16,FALSE)="No data","x",IF(VLOOKUP($B64,'Indicator Data (national)'!$B$5:$Q$14,16,FALSE)&gt;Q$150,0,IF(VLOOKUP($B64,'Indicator Data (national)'!$B$5:$Q$14,16,FALSE)&lt;Q$149,10,(Q$150-VLOOKUP($B64,'Indicator Data (national)'!$B$5:$Q$14,16,FALSE))/(Q$150-Q$149)*10)))</f>
        <v>8.1999999999999993</v>
      </c>
      <c r="R64" s="158">
        <f t="shared" si="9"/>
        <v>8.1999999999999993</v>
      </c>
      <c r="S64" s="3">
        <f t="shared" si="15"/>
        <v>7.4126894605420075</v>
      </c>
      <c r="T64" s="2">
        <f>IF(VLOOKUP($B64,'Indicator Data (national)'!$B$5:$BC$14,43,FALSE)="No data","x",IF(VLOOKUP($B64,'Indicator Data (national)'!$B$5:$BC$14,43,FALSE)&gt;T$150,10,IF(VLOOKUP($B64,'Indicator Data (national)'!$B$5:$BC$14,43,FALSE)&lt;T$149,0,(T$150-VLOOKUP($B64,'Indicator Data (national)'!$B$5:$BC$14,43,FALSE))/(T$150-T$149)*10)))</f>
        <v>9.8647237723687979</v>
      </c>
      <c r="U64" s="3">
        <f t="shared" si="10"/>
        <v>9.8647237723687979</v>
      </c>
      <c r="V64" s="5">
        <f t="shared" si="16"/>
        <v>6.5964036522675329</v>
      </c>
      <c r="W64" s="2">
        <f>IF(VLOOKUP($B64,'Indicator Data (national)'!$B$5:$AS$14,37,FALSE)="No data","x",IF(VLOOKUP($B64,'Indicator Data (national)'!$B$5:$AS$14,37,FALSE)&gt;W$150,10,IF(VLOOKUP($B64,'Indicator Data (national)'!$B$5:$AS$14,37,FALSE)&lt;W$149,0,(LOG(W$150)-LOG(VLOOKUP($B64,'Indicator Data (national)'!$B$5:$AS$14,37,FALSE)))/(LOG(W$150)-LOG(W$149))*10)))</f>
        <v>7.6457347942026841</v>
      </c>
      <c r="X64" s="2">
        <f>IF(VLOOKUP($B64,'Indicator Data (national)'!$B$5:$BB$14,45,FALSE)="No data","x",IF(VLOOKUP($B64,'Indicator Data (national)'!$B$5:$BB$14,45,FALSE)&gt;X$150,10,IF(VLOOKUP($B64,'Indicator Data (national)'!$B$5:$BB$14,45,FALSE)&lt;X$149,0,10-(X$150-VLOOKUP($B64,'Indicator Data (national)'!$B$5:$BB$14,45,FALSE))/(X$150-X$149)*10)))</f>
        <v>6.2222222222222223</v>
      </c>
      <c r="Y64" s="2">
        <f>IF(VLOOKUP($B64,'Indicator Data (national)'!$B$5:$BB$14,46,FALSE)="No data","x",IF(VLOOKUP($B64,'Indicator Data (national)'!$B$5:$BB$14,46,FALSE)&gt;Y$150,10,IF(VLOOKUP($B64,'Indicator Data (national)'!$B$5:$BB$14,46,FALSE)&lt;Y$149,0,(Y$150-VLOOKUP($B64,'Indicator Data (national)'!$B$5:$BB$14,46,FALSE))/(Y$150-Y$149)*10)))</f>
        <v>8</v>
      </c>
      <c r="Z64" s="156">
        <f>IF(VLOOKUP($B64,'Indicator Data (national)'!$B$5:$BB$14,48,FALSE)="No data","x",VLOOKUP($B64,'Indicator Data (national)'!$B$5:$BB$14,47,FALSE)*VLOOKUP($B64,'Indicator Data (national)'!$B$5:$BB$14,48,FALSE))</f>
        <v>9.814910769612494</v>
      </c>
      <c r="AA64" s="2">
        <f t="shared" si="11"/>
        <v>9.0185089230387501</v>
      </c>
      <c r="AB64" s="3">
        <f t="shared" si="12"/>
        <v>7.7216164848659146</v>
      </c>
      <c r="AC64" s="2">
        <f>IF(VLOOKUP($B64,'Indicator Data (national)'!$B$5:$BB$14,49,FALSE)="No data","x",IF(VLOOKUP($B64,'Indicator Data (national)'!$B$5:$BB$14,49,FALSE)&gt;AC$150,0,IF(VLOOKUP($B64,'Indicator Data (national)'!$B$5:$BB$14,49,FALSE)&lt;AC$149,10,(AC$150-VLOOKUP($B64,'Indicator Data (national)'!$B$5:$BB$14,49,FALSE))/(AC$150-AC$149)*10)))</f>
        <v>8.6440000000000001</v>
      </c>
      <c r="AD64" s="2">
        <f>IF(VLOOKUP($B64,'Indicator Data (national)'!$B$5:$BB$14,50,FALSE)="No data","x",IF(VLOOKUP($B64,'Indicator Data (national)'!$B$5:$BB$14,50,FALSE)&gt;AD$150,0,IF(VLOOKUP($B64,'Indicator Data (national)'!$B$5:$BB$14,50,FALSE)&lt;AD$149,10,(AD$150-VLOOKUP($B64,'Indicator Data (national)'!$B$5:$BB$14,50,FALSE))/(AD$150-AD$149)*10)))</f>
        <v>8.6471999999999998</v>
      </c>
      <c r="AE64" s="3">
        <f t="shared" si="13"/>
        <v>8.6456</v>
      </c>
      <c r="AF64" s="2">
        <f>IF(VLOOKUP($B64,'Indicator Data (national)'!$B$5:$BB$14,51,FALSE)="No data","x",IF(VLOOKUP($B64,'Indicator Data (national)'!$B$5:$BB$14,51,FALSE)&gt;AF$150,0,IF(VLOOKUP($B64,'Indicator Data (national)'!$B$5:$BB$14,51,FALSE)&lt;AF$149,10,(AF$150-VLOOKUP($B64,'Indicator Data (national)'!$B$5:$BB$14,51,FALSE))/(AF$150-AF$149)*10)))</f>
        <v>0</v>
      </c>
      <c r="AG64" s="2">
        <f>IF(VLOOKUP($B64,'Indicator Data (national)'!$B$5:$BB$14,52,FALSE)="No data","x",IF(VLOOKUP($B64,'Indicator Data (national)'!$B$5:$BB$14,52,FALSE)&gt;AG$150,0,IF(VLOOKUP($B64,'Indicator Data (national)'!$B$5:$BB$14,52,FALSE)&lt;AG$149,10,(AG$150-VLOOKUP($B64,'Indicator Data (national)'!$B$5:$BB$14,52,FALSE))/(AG$150-AG$149)*10)))</f>
        <v>0</v>
      </c>
      <c r="AH64" s="2">
        <f>IF(VLOOKUP($B64,'Indicator Data (national)'!$B$5:$BB$14,53,FALSE)="No data","x",IF(VLOOKUP($B64,'Indicator Data (national)'!$B$5:$BB$14,53,FALSE)&gt;AH$150,0,IF(VLOOKUP($B64,'Indicator Data (national)'!$B$5:$BB$14,53,FALSE)&lt;AH$149,10,(AH$150-VLOOKUP($B64,'Indicator Data (national)'!$B$5:$BB$14,53,FALSE))/(AH$150-AH$149)*10)))</f>
        <v>5.1780682960214941</v>
      </c>
      <c r="AI64" s="3">
        <f t="shared" si="14"/>
        <v>1.726022765340498</v>
      </c>
      <c r="AJ64" s="5">
        <f t="shared" si="17"/>
        <v>6.0310797500688045</v>
      </c>
    </row>
    <row r="65" spans="1:36" s="11" customFormat="1" x14ac:dyDescent="0.25">
      <c r="A65" s="16" t="s">
        <v>432</v>
      </c>
      <c r="B65" s="11" t="s">
        <v>576</v>
      </c>
      <c r="C65" s="126" t="s">
        <v>657</v>
      </c>
      <c r="D65" s="120">
        <f>(VLOOKUP($B65,'Indicator Data (national)'!$B$5:$AP$14,39,FALSE)+VLOOKUP($B65,'Indicator Data (national)'!$B$5:$AP$14,40,FALSE)+VLOOKUP($B65,'Indicator Data (national)'!$B$5:$AP$14,41,FALSE))/VLOOKUP($B65,'Indicator Data (national)'!$B$5:$AP$14,38,FALSE)*1000000</f>
        <v>0.3850863279901553</v>
      </c>
      <c r="E65" s="2">
        <f t="shared" si="3"/>
        <v>8.0745683600492235</v>
      </c>
      <c r="F65" s="3">
        <f t="shared" si="4"/>
        <v>8.0745683600492235</v>
      </c>
      <c r="G65" s="2">
        <f>IF(VLOOKUP($B65,'Indicator Data (national)'!$B$5:$AQ$14,30,FALSE)="No data","x",IF(VLOOKUP($B65,'Indicator Data (national)'!$B$5:$AQ$14,30,FALSE)&gt;G$150,10,IF(VLOOKUP($B65,'Indicator Data (national)'!$B$5:$AQ$14,30,FALSE)&lt;G$149,0,(G$150-VLOOKUP($B65,'Indicator Data (national)'!$B$5:$AQ$14,30,FALSE))/(G$150-G$149)*10)))</f>
        <v>7.5</v>
      </c>
      <c r="H65" s="2">
        <f>IF(VLOOKUP($B65,'Indicator Data (national)'!$B$5:$AQ$14,29,FALSE)="No data","x",IF(VLOOKUP($B65,'Indicator Data (national)'!$B$5:$AQ$14,29,FALSE)&gt;H$150,10,IF(VLOOKUP($B65,'Indicator Data (national)'!$B$5:$AQ$14,29,FALSE)&lt;H$149,0,(H$150-VLOOKUP($B65,'Indicator Data (national)'!$B$5:$AQ$14,29,FALSE))/(H$150-H$149)*10)))</f>
        <v>5.9728583693504333</v>
      </c>
      <c r="I65" s="3">
        <f t="shared" si="5"/>
        <v>6.7364291846752167</v>
      </c>
      <c r="J65" s="5">
        <f t="shared" si="6"/>
        <v>7.4054987723622201</v>
      </c>
      <c r="K65" s="2">
        <f>IF(VLOOKUP($B65,'Indicator Data (national)'!$B$5:$AQ$14,33,FALSE)="No data","x",IF(VLOOKUP($B65,'Indicator Data (national)'!$B$5:$AQ$14,33,FALSE)&gt;K$150,10,IF(VLOOKUP($B65,'Indicator Data (national)'!$B$5:$AQ$14,33,FALSE)&lt;K$149,0,(K$150-VLOOKUP($B65,'Indicator Data (national)'!$B$5:$AQ$14,33,FALSE))/(K$150-K$149)*10)))</f>
        <v>2.2000000000000002</v>
      </c>
      <c r="L65" s="2">
        <f>IF(VLOOKUP($B65,'Indicator Data (national)'!$B$5:$AQ$14,34,FALSE)="No data","x",IF(VLOOKUP($B65,'Indicator Data (national)'!$B$5:$AQ$14,34,FALSE)&gt;L$150,10,IF(VLOOKUP($B65,'Indicator Data (national)'!$B$5:$AQ$14,34,FALSE)&lt;L$149,0,(L$150-VLOOKUP($B65,'Indicator Data (national)'!$B$5:$AQ$14,34,FALSE))/(L$150-L$149)*10)))</f>
        <v>2.8235954477835907</v>
      </c>
      <c r="M65" s="3">
        <f t="shared" si="7"/>
        <v>2.5117977238917955</v>
      </c>
      <c r="N65" s="2">
        <f>IF(VLOOKUP($B65,'Indicator Data (national)'!$B$5:$AS$14,44,FALSE)="No data","x",IF(VLOOKUP($B65,'Indicator Data (national)'!$B$5:$AS$14,44,FALSE)&gt;N$150,10,IF(VLOOKUP($B65,'Indicator Data (national)'!$B$5:$AS$14,44,FALSE)&lt;N$149,0,10-(N$150-VLOOKUP($B65,'Indicator Data (national)'!$B$5:$AS$14,44,FALSE))/(N$150-N$149)*10)))</f>
        <v>3.9000000000000004</v>
      </c>
      <c r="O65" s="2">
        <f>IF(VLOOKUP($B65,'Indicator Data (national)'!$B$5:$AS$14,42,FALSE)="No data","x",IF(VLOOKUP($B65,'Indicator Data (national)'!$B$5:$AS$14,42,FALSE)&gt;O$150,0,IF(VLOOKUP($B65,'Indicator Data (national)'!$B$5:$AS$14,42,FALSE)&lt;O$149,10,(O$150-VLOOKUP($B65,'Indicator Data (national)'!$B$5:$AS$14,42,FALSE))/(O$150-O$149)*10)))</f>
        <v>9.3507578421680311</v>
      </c>
      <c r="P65" s="158">
        <f t="shared" si="8"/>
        <v>6.6253789210840157</v>
      </c>
      <c r="Q65" s="2">
        <f>IF(VLOOKUP($B65,'Indicator Data (national)'!$B$5:$Q$14,16,FALSE)="No data","x",IF(VLOOKUP($B65,'Indicator Data (national)'!$B$5:$Q$14,16,FALSE)&gt;Q$150,0,IF(VLOOKUP($B65,'Indicator Data (national)'!$B$5:$Q$14,16,FALSE)&lt;Q$149,10,(Q$150-VLOOKUP($B65,'Indicator Data (national)'!$B$5:$Q$14,16,FALSE))/(Q$150-Q$149)*10)))</f>
        <v>8.1999999999999993</v>
      </c>
      <c r="R65" s="158">
        <f t="shared" si="9"/>
        <v>8.1999999999999993</v>
      </c>
      <c r="S65" s="3">
        <f t="shared" si="15"/>
        <v>7.4126894605420075</v>
      </c>
      <c r="T65" s="2">
        <f>IF(VLOOKUP($B65,'Indicator Data (national)'!$B$5:$BC$14,43,FALSE)="No data","x",IF(VLOOKUP($B65,'Indicator Data (national)'!$B$5:$BC$14,43,FALSE)&gt;T$150,10,IF(VLOOKUP($B65,'Indicator Data (national)'!$B$5:$BC$14,43,FALSE)&lt;T$149,0,(T$150-VLOOKUP($B65,'Indicator Data (national)'!$B$5:$BC$14,43,FALSE))/(T$150-T$149)*10)))</f>
        <v>9.8647237723687979</v>
      </c>
      <c r="U65" s="3">
        <f t="shared" si="10"/>
        <v>9.8647237723687979</v>
      </c>
      <c r="V65" s="5">
        <f t="shared" si="16"/>
        <v>6.5964036522675329</v>
      </c>
      <c r="W65" s="2">
        <f>IF(VLOOKUP($B65,'Indicator Data (national)'!$B$5:$AS$14,37,FALSE)="No data","x",IF(VLOOKUP($B65,'Indicator Data (national)'!$B$5:$AS$14,37,FALSE)&gt;W$150,10,IF(VLOOKUP($B65,'Indicator Data (national)'!$B$5:$AS$14,37,FALSE)&lt;W$149,0,(LOG(W$150)-LOG(VLOOKUP($B65,'Indicator Data (national)'!$B$5:$AS$14,37,FALSE)))/(LOG(W$150)-LOG(W$149))*10)))</f>
        <v>7.6457347942026841</v>
      </c>
      <c r="X65" s="2">
        <f>IF(VLOOKUP($B65,'Indicator Data (national)'!$B$5:$BB$14,45,FALSE)="No data","x",IF(VLOOKUP($B65,'Indicator Data (national)'!$B$5:$BB$14,45,FALSE)&gt;X$150,10,IF(VLOOKUP($B65,'Indicator Data (national)'!$B$5:$BB$14,45,FALSE)&lt;X$149,0,10-(X$150-VLOOKUP($B65,'Indicator Data (national)'!$B$5:$BB$14,45,FALSE))/(X$150-X$149)*10)))</f>
        <v>6.2222222222222223</v>
      </c>
      <c r="Y65" s="2">
        <f>IF(VLOOKUP($B65,'Indicator Data (national)'!$B$5:$BB$14,46,FALSE)="No data","x",IF(VLOOKUP($B65,'Indicator Data (national)'!$B$5:$BB$14,46,FALSE)&gt;Y$150,10,IF(VLOOKUP($B65,'Indicator Data (national)'!$B$5:$BB$14,46,FALSE)&lt;Y$149,0,(Y$150-VLOOKUP($B65,'Indicator Data (national)'!$B$5:$BB$14,46,FALSE))/(Y$150-Y$149)*10)))</f>
        <v>8</v>
      </c>
      <c r="Z65" s="156">
        <f>IF(VLOOKUP($B65,'Indicator Data (national)'!$B$5:$BB$14,48,FALSE)="No data","x",VLOOKUP($B65,'Indicator Data (national)'!$B$5:$BB$14,47,FALSE)*VLOOKUP($B65,'Indicator Data (national)'!$B$5:$BB$14,48,FALSE))</f>
        <v>9.814910769612494</v>
      </c>
      <c r="AA65" s="2">
        <f t="shared" si="11"/>
        <v>9.0185089230387501</v>
      </c>
      <c r="AB65" s="3">
        <f t="shared" si="12"/>
        <v>7.7216164848659146</v>
      </c>
      <c r="AC65" s="2">
        <f>IF(VLOOKUP($B65,'Indicator Data (national)'!$B$5:$BB$14,49,FALSE)="No data","x",IF(VLOOKUP($B65,'Indicator Data (national)'!$B$5:$BB$14,49,FALSE)&gt;AC$150,0,IF(VLOOKUP($B65,'Indicator Data (national)'!$B$5:$BB$14,49,FALSE)&lt;AC$149,10,(AC$150-VLOOKUP($B65,'Indicator Data (national)'!$B$5:$BB$14,49,FALSE))/(AC$150-AC$149)*10)))</f>
        <v>8.6440000000000001</v>
      </c>
      <c r="AD65" s="2">
        <f>IF(VLOOKUP($B65,'Indicator Data (national)'!$B$5:$BB$14,50,FALSE)="No data","x",IF(VLOOKUP($B65,'Indicator Data (national)'!$B$5:$BB$14,50,FALSE)&gt;AD$150,0,IF(VLOOKUP($B65,'Indicator Data (national)'!$B$5:$BB$14,50,FALSE)&lt;AD$149,10,(AD$150-VLOOKUP($B65,'Indicator Data (national)'!$B$5:$BB$14,50,FALSE))/(AD$150-AD$149)*10)))</f>
        <v>8.6471999999999998</v>
      </c>
      <c r="AE65" s="3">
        <f t="shared" si="13"/>
        <v>8.6456</v>
      </c>
      <c r="AF65" s="2">
        <f>IF(VLOOKUP($B65,'Indicator Data (national)'!$B$5:$BB$14,51,FALSE)="No data","x",IF(VLOOKUP($B65,'Indicator Data (national)'!$B$5:$BB$14,51,FALSE)&gt;AF$150,0,IF(VLOOKUP($B65,'Indicator Data (national)'!$B$5:$BB$14,51,FALSE)&lt;AF$149,10,(AF$150-VLOOKUP($B65,'Indicator Data (national)'!$B$5:$BB$14,51,FALSE))/(AF$150-AF$149)*10)))</f>
        <v>0</v>
      </c>
      <c r="AG65" s="2">
        <f>IF(VLOOKUP($B65,'Indicator Data (national)'!$B$5:$BB$14,52,FALSE)="No data","x",IF(VLOOKUP($B65,'Indicator Data (national)'!$B$5:$BB$14,52,FALSE)&gt;AG$150,0,IF(VLOOKUP($B65,'Indicator Data (national)'!$B$5:$BB$14,52,FALSE)&lt;AG$149,10,(AG$150-VLOOKUP($B65,'Indicator Data (national)'!$B$5:$BB$14,52,FALSE))/(AG$150-AG$149)*10)))</f>
        <v>0</v>
      </c>
      <c r="AH65" s="2">
        <f>IF(VLOOKUP($B65,'Indicator Data (national)'!$B$5:$BB$14,53,FALSE)="No data","x",IF(VLOOKUP($B65,'Indicator Data (national)'!$B$5:$BB$14,53,FALSE)&gt;AH$150,0,IF(VLOOKUP($B65,'Indicator Data (national)'!$B$5:$BB$14,53,FALSE)&lt;AH$149,10,(AH$150-VLOOKUP($B65,'Indicator Data (national)'!$B$5:$BB$14,53,FALSE))/(AH$150-AH$149)*10)))</f>
        <v>5.1780682960214941</v>
      </c>
      <c r="AI65" s="3">
        <f t="shared" si="14"/>
        <v>1.726022765340498</v>
      </c>
      <c r="AJ65" s="5">
        <f t="shared" si="17"/>
        <v>6.0310797500688045</v>
      </c>
    </row>
    <row r="66" spans="1:36" s="11" customFormat="1" x14ac:dyDescent="0.25">
      <c r="A66" s="16" t="s">
        <v>433</v>
      </c>
      <c r="B66" s="11" t="s">
        <v>576</v>
      </c>
      <c r="C66" s="126" t="s">
        <v>658</v>
      </c>
      <c r="D66" s="120">
        <f>(VLOOKUP($B66,'Indicator Data (national)'!$B$5:$AP$14,39,FALSE)+VLOOKUP($B66,'Indicator Data (national)'!$B$5:$AP$14,40,FALSE)+VLOOKUP($B66,'Indicator Data (national)'!$B$5:$AP$14,41,FALSE))/VLOOKUP($B66,'Indicator Data (national)'!$B$5:$AP$14,38,FALSE)*1000000</f>
        <v>0.3850863279901553</v>
      </c>
      <c r="E66" s="2">
        <f t="shared" si="3"/>
        <v>8.0745683600492235</v>
      </c>
      <c r="F66" s="3">
        <f t="shared" si="4"/>
        <v>8.0745683600492235</v>
      </c>
      <c r="G66" s="2">
        <f>IF(VLOOKUP($B66,'Indicator Data (national)'!$B$5:$AQ$14,30,FALSE)="No data","x",IF(VLOOKUP($B66,'Indicator Data (national)'!$B$5:$AQ$14,30,FALSE)&gt;G$150,10,IF(VLOOKUP($B66,'Indicator Data (national)'!$B$5:$AQ$14,30,FALSE)&lt;G$149,0,(G$150-VLOOKUP($B66,'Indicator Data (national)'!$B$5:$AQ$14,30,FALSE))/(G$150-G$149)*10)))</f>
        <v>7.5</v>
      </c>
      <c r="H66" s="2">
        <f>IF(VLOOKUP($B66,'Indicator Data (national)'!$B$5:$AQ$14,29,FALSE)="No data","x",IF(VLOOKUP($B66,'Indicator Data (national)'!$B$5:$AQ$14,29,FALSE)&gt;H$150,10,IF(VLOOKUP($B66,'Indicator Data (national)'!$B$5:$AQ$14,29,FALSE)&lt;H$149,0,(H$150-VLOOKUP($B66,'Indicator Data (national)'!$B$5:$AQ$14,29,FALSE))/(H$150-H$149)*10)))</f>
        <v>5.9728583693504333</v>
      </c>
      <c r="I66" s="3">
        <f t="shared" si="5"/>
        <v>6.7364291846752167</v>
      </c>
      <c r="J66" s="5">
        <f t="shared" si="6"/>
        <v>7.4054987723622201</v>
      </c>
      <c r="K66" s="2">
        <f>IF(VLOOKUP($B66,'Indicator Data (national)'!$B$5:$AQ$14,33,FALSE)="No data","x",IF(VLOOKUP($B66,'Indicator Data (national)'!$B$5:$AQ$14,33,FALSE)&gt;K$150,10,IF(VLOOKUP($B66,'Indicator Data (national)'!$B$5:$AQ$14,33,FALSE)&lt;K$149,0,(K$150-VLOOKUP($B66,'Indicator Data (national)'!$B$5:$AQ$14,33,FALSE))/(K$150-K$149)*10)))</f>
        <v>2.2000000000000002</v>
      </c>
      <c r="L66" s="2">
        <f>IF(VLOOKUP($B66,'Indicator Data (national)'!$B$5:$AQ$14,34,FALSE)="No data","x",IF(VLOOKUP($B66,'Indicator Data (national)'!$B$5:$AQ$14,34,FALSE)&gt;L$150,10,IF(VLOOKUP($B66,'Indicator Data (national)'!$B$5:$AQ$14,34,FALSE)&lt;L$149,0,(L$150-VLOOKUP($B66,'Indicator Data (national)'!$B$5:$AQ$14,34,FALSE))/(L$150-L$149)*10)))</f>
        <v>2.8235954477835907</v>
      </c>
      <c r="M66" s="3">
        <f t="shared" si="7"/>
        <v>2.5117977238917955</v>
      </c>
      <c r="N66" s="2">
        <f>IF(VLOOKUP($B66,'Indicator Data (national)'!$B$5:$AS$14,44,FALSE)="No data","x",IF(VLOOKUP($B66,'Indicator Data (national)'!$B$5:$AS$14,44,FALSE)&gt;N$150,10,IF(VLOOKUP($B66,'Indicator Data (national)'!$B$5:$AS$14,44,FALSE)&lt;N$149,0,10-(N$150-VLOOKUP($B66,'Indicator Data (national)'!$B$5:$AS$14,44,FALSE))/(N$150-N$149)*10)))</f>
        <v>3.9000000000000004</v>
      </c>
      <c r="O66" s="2">
        <f>IF(VLOOKUP($B66,'Indicator Data (national)'!$B$5:$AS$14,42,FALSE)="No data","x",IF(VLOOKUP($B66,'Indicator Data (national)'!$B$5:$AS$14,42,FALSE)&gt;O$150,0,IF(VLOOKUP($B66,'Indicator Data (national)'!$B$5:$AS$14,42,FALSE)&lt;O$149,10,(O$150-VLOOKUP($B66,'Indicator Data (national)'!$B$5:$AS$14,42,FALSE))/(O$150-O$149)*10)))</f>
        <v>9.3507578421680311</v>
      </c>
      <c r="P66" s="158">
        <f t="shared" si="8"/>
        <v>6.6253789210840157</v>
      </c>
      <c r="Q66" s="2">
        <f>IF(VLOOKUP($B66,'Indicator Data (national)'!$B$5:$Q$14,16,FALSE)="No data","x",IF(VLOOKUP($B66,'Indicator Data (national)'!$B$5:$Q$14,16,FALSE)&gt;Q$150,0,IF(VLOOKUP($B66,'Indicator Data (national)'!$B$5:$Q$14,16,FALSE)&lt;Q$149,10,(Q$150-VLOOKUP($B66,'Indicator Data (national)'!$B$5:$Q$14,16,FALSE))/(Q$150-Q$149)*10)))</f>
        <v>8.1999999999999993</v>
      </c>
      <c r="R66" s="158">
        <f t="shared" si="9"/>
        <v>8.1999999999999993</v>
      </c>
      <c r="S66" s="3">
        <f t="shared" si="15"/>
        <v>7.4126894605420075</v>
      </c>
      <c r="T66" s="2">
        <f>IF(VLOOKUP($B66,'Indicator Data (national)'!$B$5:$BC$14,43,FALSE)="No data","x",IF(VLOOKUP($B66,'Indicator Data (national)'!$B$5:$BC$14,43,FALSE)&gt;T$150,10,IF(VLOOKUP($B66,'Indicator Data (national)'!$B$5:$BC$14,43,FALSE)&lt;T$149,0,(T$150-VLOOKUP($B66,'Indicator Data (national)'!$B$5:$BC$14,43,FALSE))/(T$150-T$149)*10)))</f>
        <v>9.8647237723687979</v>
      </c>
      <c r="U66" s="3">
        <f t="shared" si="10"/>
        <v>9.8647237723687979</v>
      </c>
      <c r="V66" s="5">
        <f t="shared" si="16"/>
        <v>6.5964036522675329</v>
      </c>
      <c r="W66" s="2">
        <f>IF(VLOOKUP($B66,'Indicator Data (national)'!$B$5:$AS$14,37,FALSE)="No data","x",IF(VLOOKUP($B66,'Indicator Data (national)'!$B$5:$AS$14,37,FALSE)&gt;W$150,10,IF(VLOOKUP($B66,'Indicator Data (national)'!$B$5:$AS$14,37,FALSE)&lt;W$149,0,(LOG(W$150)-LOG(VLOOKUP($B66,'Indicator Data (national)'!$B$5:$AS$14,37,FALSE)))/(LOG(W$150)-LOG(W$149))*10)))</f>
        <v>7.6457347942026841</v>
      </c>
      <c r="X66" s="2">
        <f>IF(VLOOKUP($B66,'Indicator Data (national)'!$B$5:$BB$14,45,FALSE)="No data","x",IF(VLOOKUP($B66,'Indicator Data (national)'!$B$5:$BB$14,45,FALSE)&gt;X$150,10,IF(VLOOKUP($B66,'Indicator Data (national)'!$B$5:$BB$14,45,FALSE)&lt;X$149,0,10-(X$150-VLOOKUP($B66,'Indicator Data (national)'!$B$5:$BB$14,45,FALSE))/(X$150-X$149)*10)))</f>
        <v>6.2222222222222223</v>
      </c>
      <c r="Y66" s="2">
        <f>IF(VLOOKUP($B66,'Indicator Data (national)'!$B$5:$BB$14,46,FALSE)="No data","x",IF(VLOOKUP($B66,'Indicator Data (national)'!$B$5:$BB$14,46,FALSE)&gt;Y$150,10,IF(VLOOKUP($B66,'Indicator Data (national)'!$B$5:$BB$14,46,FALSE)&lt;Y$149,0,(Y$150-VLOOKUP($B66,'Indicator Data (national)'!$B$5:$BB$14,46,FALSE))/(Y$150-Y$149)*10)))</f>
        <v>8</v>
      </c>
      <c r="Z66" s="156">
        <f>IF(VLOOKUP($B66,'Indicator Data (national)'!$B$5:$BB$14,48,FALSE)="No data","x",VLOOKUP($B66,'Indicator Data (national)'!$B$5:$BB$14,47,FALSE)*VLOOKUP($B66,'Indicator Data (national)'!$B$5:$BB$14,48,FALSE))</f>
        <v>9.814910769612494</v>
      </c>
      <c r="AA66" s="2">
        <f t="shared" si="11"/>
        <v>9.0185089230387501</v>
      </c>
      <c r="AB66" s="3">
        <f t="shared" si="12"/>
        <v>7.7216164848659146</v>
      </c>
      <c r="AC66" s="2">
        <f>IF(VLOOKUP($B66,'Indicator Data (national)'!$B$5:$BB$14,49,FALSE)="No data","x",IF(VLOOKUP($B66,'Indicator Data (national)'!$B$5:$BB$14,49,FALSE)&gt;AC$150,0,IF(VLOOKUP($B66,'Indicator Data (national)'!$B$5:$BB$14,49,FALSE)&lt;AC$149,10,(AC$150-VLOOKUP($B66,'Indicator Data (national)'!$B$5:$BB$14,49,FALSE))/(AC$150-AC$149)*10)))</f>
        <v>8.6440000000000001</v>
      </c>
      <c r="AD66" s="2">
        <f>IF(VLOOKUP($B66,'Indicator Data (national)'!$B$5:$BB$14,50,FALSE)="No data","x",IF(VLOOKUP($B66,'Indicator Data (national)'!$B$5:$BB$14,50,FALSE)&gt;AD$150,0,IF(VLOOKUP($B66,'Indicator Data (national)'!$B$5:$BB$14,50,FALSE)&lt;AD$149,10,(AD$150-VLOOKUP($B66,'Indicator Data (national)'!$B$5:$BB$14,50,FALSE))/(AD$150-AD$149)*10)))</f>
        <v>8.6471999999999998</v>
      </c>
      <c r="AE66" s="3">
        <f t="shared" si="13"/>
        <v>8.6456</v>
      </c>
      <c r="AF66" s="2">
        <f>IF(VLOOKUP($B66,'Indicator Data (national)'!$B$5:$BB$14,51,FALSE)="No data","x",IF(VLOOKUP($B66,'Indicator Data (national)'!$B$5:$BB$14,51,FALSE)&gt;AF$150,0,IF(VLOOKUP($B66,'Indicator Data (national)'!$B$5:$BB$14,51,FALSE)&lt;AF$149,10,(AF$150-VLOOKUP($B66,'Indicator Data (national)'!$B$5:$BB$14,51,FALSE))/(AF$150-AF$149)*10)))</f>
        <v>0</v>
      </c>
      <c r="AG66" s="2">
        <f>IF(VLOOKUP($B66,'Indicator Data (national)'!$B$5:$BB$14,52,FALSE)="No data","x",IF(VLOOKUP($B66,'Indicator Data (national)'!$B$5:$BB$14,52,FALSE)&gt;AG$150,0,IF(VLOOKUP($B66,'Indicator Data (national)'!$B$5:$BB$14,52,FALSE)&lt;AG$149,10,(AG$150-VLOOKUP($B66,'Indicator Data (national)'!$B$5:$BB$14,52,FALSE))/(AG$150-AG$149)*10)))</f>
        <v>0</v>
      </c>
      <c r="AH66" s="2">
        <f>IF(VLOOKUP($B66,'Indicator Data (national)'!$B$5:$BB$14,53,FALSE)="No data","x",IF(VLOOKUP($B66,'Indicator Data (national)'!$B$5:$BB$14,53,FALSE)&gt;AH$150,0,IF(VLOOKUP($B66,'Indicator Data (national)'!$B$5:$BB$14,53,FALSE)&lt;AH$149,10,(AH$150-VLOOKUP($B66,'Indicator Data (national)'!$B$5:$BB$14,53,FALSE))/(AH$150-AH$149)*10)))</f>
        <v>5.1780682960214941</v>
      </c>
      <c r="AI66" s="3">
        <f t="shared" si="14"/>
        <v>1.726022765340498</v>
      </c>
      <c r="AJ66" s="5">
        <f t="shared" si="17"/>
        <v>6.0310797500688045</v>
      </c>
    </row>
    <row r="67" spans="1:36" s="11" customFormat="1" x14ac:dyDescent="0.25">
      <c r="A67" s="16" t="s">
        <v>434</v>
      </c>
      <c r="B67" s="11" t="s">
        <v>576</v>
      </c>
      <c r="C67" s="126" t="s">
        <v>659</v>
      </c>
      <c r="D67" s="120">
        <f>(VLOOKUP($B67,'Indicator Data (national)'!$B$5:$AP$14,39,FALSE)+VLOOKUP($B67,'Indicator Data (national)'!$B$5:$AP$14,40,FALSE)+VLOOKUP($B67,'Indicator Data (national)'!$B$5:$AP$14,41,FALSE))/VLOOKUP($B67,'Indicator Data (national)'!$B$5:$AP$14,38,FALSE)*1000000</f>
        <v>0.3850863279901553</v>
      </c>
      <c r="E67" s="2">
        <f t="shared" si="3"/>
        <v>8.0745683600492235</v>
      </c>
      <c r="F67" s="3">
        <f t="shared" si="4"/>
        <v>8.0745683600492235</v>
      </c>
      <c r="G67" s="2">
        <f>IF(VLOOKUP($B67,'Indicator Data (national)'!$B$5:$AQ$14,30,FALSE)="No data","x",IF(VLOOKUP($B67,'Indicator Data (national)'!$B$5:$AQ$14,30,FALSE)&gt;G$150,10,IF(VLOOKUP($B67,'Indicator Data (national)'!$B$5:$AQ$14,30,FALSE)&lt;G$149,0,(G$150-VLOOKUP($B67,'Indicator Data (national)'!$B$5:$AQ$14,30,FALSE))/(G$150-G$149)*10)))</f>
        <v>7.5</v>
      </c>
      <c r="H67" s="2">
        <f>IF(VLOOKUP($B67,'Indicator Data (national)'!$B$5:$AQ$14,29,FALSE)="No data","x",IF(VLOOKUP($B67,'Indicator Data (national)'!$B$5:$AQ$14,29,FALSE)&gt;H$150,10,IF(VLOOKUP($B67,'Indicator Data (national)'!$B$5:$AQ$14,29,FALSE)&lt;H$149,0,(H$150-VLOOKUP($B67,'Indicator Data (national)'!$B$5:$AQ$14,29,FALSE))/(H$150-H$149)*10)))</f>
        <v>5.9728583693504333</v>
      </c>
      <c r="I67" s="3">
        <f t="shared" si="5"/>
        <v>6.7364291846752167</v>
      </c>
      <c r="J67" s="5">
        <f t="shared" si="6"/>
        <v>7.4054987723622201</v>
      </c>
      <c r="K67" s="2">
        <f>IF(VLOOKUP($B67,'Indicator Data (national)'!$B$5:$AQ$14,33,FALSE)="No data","x",IF(VLOOKUP($B67,'Indicator Data (national)'!$B$5:$AQ$14,33,FALSE)&gt;K$150,10,IF(VLOOKUP($B67,'Indicator Data (national)'!$B$5:$AQ$14,33,FALSE)&lt;K$149,0,(K$150-VLOOKUP($B67,'Indicator Data (national)'!$B$5:$AQ$14,33,FALSE))/(K$150-K$149)*10)))</f>
        <v>2.2000000000000002</v>
      </c>
      <c r="L67" s="2">
        <f>IF(VLOOKUP($B67,'Indicator Data (national)'!$B$5:$AQ$14,34,FALSE)="No data","x",IF(VLOOKUP($B67,'Indicator Data (national)'!$B$5:$AQ$14,34,FALSE)&gt;L$150,10,IF(VLOOKUP($B67,'Indicator Data (national)'!$B$5:$AQ$14,34,FALSE)&lt;L$149,0,(L$150-VLOOKUP($B67,'Indicator Data (national)'!$B$5:$AQ$14,34,FALSE))/(L$150-L$149)*10)))</f>
        <v>2.8235954477835907</v>
      </c>
      <c r="M67" s="3">
        <f t="shared" si="7"/>
        <v>2.5117977238917955</v>
      </c>
      <c r="N67" s="2">
        <f>IF(VLOOKUP($B67,'Indicator Data (national)'!$B$5:$AS$14,44,FALSE)="No data","x",IF(VLOOKUP($B67,'Indicator Data (national)'!$B$5:$AS$14,44,FALSE)&gt;N$150,10,IF(VLOOKUP($B67,'Indicator Data (national)'!$B$5:$AS$14,44,FALSE)&lt;N$149,0,10-(N$150-VLOOKUP($B67,'Indicator Data (national)'!$B$5:$AS$14,44,FALSE))/(N$150-N$149)*10)))</f>
        <v>3.9000000000000004</v>
      </c>
      <c r="O67" s="2">
        <f>IF(VLOOKUP($B67,'Indicator Data (national)'!$B$5:$AS$14,42,FALSE)="No data","x",IF(VLOOKUP($B67,'Indicator Data (national)'!$B$5:$AS$14,42,FALSE)&gt;O$150,0,IF(VLOOKUP($B67,'Indicator Data (national)'!$B$5:$AS$14,42,FALSE)&lt;O$149,10,(O$150-VLOOKUP($B67,'Indicator Data (national)'!$B$5:$AS$14,42,FALSE))/(O$150-O$149)*10)))</f>
        <v>9.3507578421680311</v>
      </c>
      <c r="P67" s="158">
        <f t="shared" si="8"/>
        <v>6.6253789210840157</v>
      </c>
      <c r="Q67" s="2">
        <f>IF(VLOOKUP($B67,'Indicator Data (national)'!$B$5:$Q$14,16,FALSE)="No data","x",IF(VLOOKUP($B67,'Indicator Data (national)'!$B$5:$Q$14,16,FALSE)&gt;Q$150,0,IF(VLOOKUP($B67,'Indicator Data (national)'!$B$5:$Q$14,16,FALSE)&lt;Q$149,10,(Q$150-VLOOKUP($B67,'Indicator Data (national)'!$B$5:$Q$14,16,FALSE))/(Q$150-Q$149)*10)))</f>
        <v>8.1999999999999993</v>
      </c>
      <c r="R67" s="158">
        <f t="shared" si="9"/>
        <v>8.1999999999999993</v>
      </c>
      <c r="S67" s="3">
        <f t="shared" ref="S67:S98" si="18">AVERAGE(R67,P67)</f>
        <v>7.4126894605420075</v>
      </c>
      <c r="T67" s="2">
        <f>IF(VLOOKUP($B67,'Indicator Data (national)'!$B$5:$BC$14,43,FALSE)="No data","x",IF(VLOOKUP($B67,'Indicator Data (national)'!$B$5:$BC$14,43,FALSE)&gt;T$150,10,IF(VLOOKUP($B67,'Indicator Data (national)'!$B$5:$BC$14,43,FALSE)&lt;T$149,0,(T$150-VLOOKUP($B67,'Indicator Data (national)'!$B$5:$BC$14,43,FALSE))/(T$150-T$149)*10)))</f>
        <v>9.8647237723687979</v>
      </c>
      <c r="U67" s="3">
        <f t="shared" si="10"/>
        <v>9.8647237723687979</v>
      </c>
      <c r="V67" s="5">
        <f t="shared" ref="V67:V98" si="19">AVERAGE(S67,M67,U67)</f>
        <v>6.5964036522675329</v>
      </c>
      <c r="W67" s="2">
        <f>IF(VLOOKUP($B67,'Indicator Data (national)'!$B$5:$AS$14,37,FALSE)="No data","x",IF(VLOOKUP($B67,'Indicator Data (national)'!$B$5:$AS$14,37,FALSE)&gt;W$150,10,IF(VLOOKUP($B67,'Indicator Data (national)'!$B$5:$AS$14,37,FALSE)&lt;W$149,0,(LOG(W$150)-LOG(VLOOKUP($B67,'Indicator Data (national)'!$B$5:$AS$14,37,FALSE)))/(LOG(W$150)-LOG(W$149))*10)))</f>
        <v>7.6457347942026841</v>
      </c>
      <c r="X67" s="2">
        <f>IF(VLOOKUP($B67,'Indicator Data (national)'!$B$5:$BB$14,45,FALSE)="No data","x",IF(VLOOKUP($B67,'Indicator Data (national)'!$B$5:$BB$14,45,FALSE)&gt;X$150,10,IF(VLOOKUP($B67,'Indicator Data (national)'!$B$5:$BB$14,45,FALSE)&lt;X$149,0,10-(X$150-VLOOKUP($B67,'Indicator Data (national)'!$B$5:$BB$14,45,FALSE))/(X$150-X$149)*10)))</f>
        <v>6.2222222222222223</v>
      </c>
      <c r="Y67" s="2">
        <f>IF(VLOOKUP($B67,'Indicator Data (national)'!$B$5:$BB$14,46,FALSE)="No data","x",IF(VLOOKUP($B67,'Indicator Data (national)'!$B$5:$BB$14,46,FALSE)&gt;Y$150,10,IF(VLOOKUP($B67,'Indicator Data (national)'!$B$5:$BB$14,46,FALSE)&lt;Y$149,0,(Y$150-VLOOKUP($B67,'Indicator Data (national)'!$B$5:$BB$14,46,FALSE))/(Y$150-Y$149)*10)))</f>
        <v>8</v>
      </c>
      <c r="Z67" s="156">
        <f>IF(VLOOKUP($B67,'Indicator Data (national)'!$B$5:$BB$14,48,FALSE)="No data","x",VLOOKUP($B67,'Indicator Data (national)'!$B$5:$BB$14,47,FALSE)*VLOOKUP($B67,'Indicator Data (national)'!$B$5:$BB$14,48,FALSE))</f>
        <v>9.814910769612494</v>
      </c>
      <c r="AA67" s="2">
        <f t="shared" si="11"/>
        <v>9.0185089230387501</v>
      </c>
      <c r="AB67" s="3">
        <f t="shared" si="12"/>
        <v>7.7216164848659146</v>
      </c>
      <c r="AC67" s="2">
        <f>IF(VLOOKUP($B67,'Indicator Data (national)'!$B$5:$BB$14,49,FALSE)="No data","x",IF(VLOOKUP($B67,'Indicator Data (national)'!$B$5:$BB$14,49,FALSE)&gt;AC$150,0,IF(VLOOKUP($B67,'Indicator Data (national)'!$B$5:$BB$14,49,FALSE)&lt;AC$149,10,(AC$150-VLOOKUP($B67,'Indicator Data (national)'!$B$5:$BB$14,49,FALSE))/(AC$150-AC$149)*10)))</f>
        <v>8.6440000000000001</v>
      </c>
      <c r="AD67" s="2">
        <f>IF(VLOOKUP($B67,'Indicator Data (national)'!$B$5:$BB$14,50,FALSE)="No data","x",IF(VLOOKUP($B67,'Indicator Data (national)'!$B$5:$BB$14,50,FALSE)&gt;AD$150,0,IF(VLOOKUP($B67,'Indicator Data (national)'!$B$5:$BB$14,50,FALSE)&lt;AD$149,10,(AD$150-VLOOKUP($B67,'Indicator Data (national)'!$B$5:$BB$14,50,FALSE))/(AD$150-AD$149)*10)))</f>
        <v>8.6471999999999998</v>
      </c>
      <c r="AE67" s="3">
        <f t="shared" si="13"/>
        <v>8.6456</v>
      </c>
      <c r="AF67" s="2">
        <f>IF(VLOOKUP($B67,'Indicator Data (national)'!$B$5:$BB$14,51,FALSE)="No data","x",IF(VLOOKUP($B67,'Indicator Data (national)'!$B$5:$BB$14,51,FALSE)&gt;AF$150,0,IF(VLOOKUP($B67,'Indicator Data (national)'!$B$5:$BB$14,51,FALSE)&lt;AF$149,10,(AF$150-VLOOKUP($B67,'Indicator Data (national)'!$B$5:$BB$14,51,FALSE))/(AF$150-AF$149)*10)))</f>
        <v>0</v>
      </c>
      <c r="AG67" s="2">
        <f>IF(VLOOKUP($B67,'Indicator Data (national)'!$B$5:$BB$14,52,FALSE)="No data","x",IF(VLOOKUP($B67,'Indicator Data (national)'!$B$5:$BB$14,52,FALSE)&gt;AG$150,0,IF(VLOOKUP($B67,'Indicator Data (national)'!$B$5:$BB$14,52,FALSE)&lt;AG$149,10,(AG$150-VLOOKUP($B67,'Indicator Data (national)'!$B$5:$BB$14,52,FALSE))/(AG$150-AG$149)*10)))</f>
        <v>0</v>
      </c>
      <c r="AH67" s="2">
        <f>IF(VLOOKUP($B67,'Indicator Data (national)'!$B$5:$BB$14,53,FALSE)="No data","x",IF(VLOOKUP($B67,'Indicator Data (national)'!$B$5:$BB$14,53,FALSE)&gt;AH$150,0,IF(VLOOKUP($B67,'Indicator Data (national)'!$B$5:$BB$14,53,FALSE)&lt;AH$149,10,(AH$150-VLOOKUP($B67,'Indicator Data (national)'!$B$5:$BB$14,53,FALSE))/(AH$150-AH$149)*10)))</f>
        <v>5.1780682960214941</v>
      </c>
      <c r="AI67" s="3">
        <f t="shared" si="14"/>
        <v>1.726022765340498</v>
      </c>
      <c r="AJ67" s="5">
        <f t="shared" ref="AJ67:AJ98" si="20">AVERAGE(AE67,AB67,AI67)</f>
        <v>6.0310797500688045</v>
      </c>
    </row>
    <row r="68" spans="1:36" s="11" customFormat="1" x14ac:dyDescent="0.25">
      <c r="A68" s="16" t="s">
        <v>435</v>
      </c>
      <c r="B68" s="11" t="s">
        <v>576</v>
      </c>
      <c r="C68" s="126" t="s">
        <v>660</v>
      </c>
      <c r="D68" s="120">
        <f>(VLOOKUP($B68,'Indicator Data (national)'!$B$5:$AP$14,39,FALSE)+VLOOKUP($B68,'Indicator Data (national)'!$B$5:$AP$14,40,FALSE)+VLOOKUP($B68,'Indicator Data (national)'!$B$5:$AP$14,41,FALSE))/VLOOKUP($B68,'Indicator Data (national)'!$B$5:$AP$14,38,FALSE)*1000000</f>
        <v>0.3850863279901553</v>
      </c>
      <c r="E68" s="2">
        <f t="shared" ref="E68:E131" si="21">IF(D68&gt;E$150,0,IF(D68&lt;E$149,10,(E$150-D68)/(E$150-E$149)*10))</f>
        <v>8.0745683600492235</v>
      </c>
      <c r="F68" s="3">
        <f t="shared" ref="F68:F131" si="22">E68</f>
        <v>8.0745683600492235</v>
      </c>
      <c r="G68" s="2">
        <f>IF(VLOOKUP($B68,'Indicator Data (national)'!$B$5:$AQ$14,30,FALSE)="No data","x",IF(VLOOKUP($B68,'Indicator Data (national)'!$B$5:$AQ$14,30,FALSE)&gt;G$150,10,IF(VLOOKUP($B68,'Indicator Data (national)'!$B$5:$AQ$14,30,FALSE)&lt;G$149,0,(G$150-VLOOKUP($B68,'Indicator Data (national)'!$B$5:$AQ$14,30,FALSE))/(G$150-G$149)*10)))</f>
        <v>7.5</v>
      </c>
      <c r="H68" s="2">
        <f>IF(VLOOKUP($B68,'Indicator Data (national)'!$B$5:$AQ$14,29,FALSE)="No data","x",IF(VLOOKUP($B68,'Indicator Data (national)'!$B$5:$AQ$14,29,FALSE)&gt;H$150,10,IF(VLOOKUP($B68,'Indicator Data (national)'!$B$5:$AQ$14,29,FALSE)&lt;H$149,0,(H$150-VLOOKUP($B68,'Indicator Data (national)'!$B$5:$AQ$14,29,FALSE))/(H$150-H$149)*10)))</f>
        <v>5.9728583693504333</v>
      </c>
      <c r="I68" s="3">
        <f t="shared" ref="I68:I131" si="23">IF(AND(G68="x",H68="x"),"x",AVERAGE(G68,H68))</f>
        <v>6.7364291846752167</v>
      </c>
      <c r="J68" s="5">
        <f t="shared" ref="J68:J131" si="24">AVERAGE(F68,I68)</f>
        <v>7.4054987723622201</v>
      </c>
      <c r="K68" s="2">
        <f>IF(VLOOKUP($B68,'Indicator Data (national)'!$B$5:$AQ$14,33,FALSE)="No data","x",IF(VLOOKUP($B68,'Indicator Data (national)'!$B$5:$AQ$14,33,FALSE)&gt;K$150,10,IF(VLOOKUP($B68,'Indicator Data (national)'!$B$5:$AQ$14,33,FALSE)&lt;K$149,0,(K$150-VLOOKUP($B68,'Indicator Data (national)'!$B$5:$AQ$14,33,FALSE))/(K$150-K$149)*10)))</f>
        <v>2.2000000000000002</v>
      </c>
      <c r="L68" s="2">
        <f>IF(VLOOKUP($B68,'Indicator Data (national)'!$B$5:$AQ$14,34,FALSE)="No data","x",IF(VLOOKUP($B68,'Indicator Data (national)'!$B$5:$AQ$14,34,FALSE)&gt;L$150,10,IF(VLOOKUP($B68,'Indicator Data (national)'!$B$5:$AQ$14,34,FALSE)&lt;L$149,0,(L$150-VLOOKUP($B68,'Indicator Data (national)'!$B$5:$AQ$14,34,FALSE))/(L$150-L$149)*10)))</f>
        <v>2.8235954477835907</v>
      </c>
      <c r="M68" s="3">
        <f t="shared" ref="M68:M131" si="25">IF(AND(K68="x",L68="x"),"x",AVERAGE(K68,L68))</f>
        <v>2.5117977238917955</v>
      </c>
      <c r="N68" s="2">
        <f>IF(VLOOKUP($B68,'Indicator Data (national)'!$B$5:$AS$14,44,FALSE)="No data","x",IF(VLOOKUP($B68,'Indicator Data (national)'!$B$5:$AS$14,44,FALSE)&gt;N$150,10,IF(VLOOKUP($B68,'Indicator Data (national)'!$B$5:$AS$14,44,FALSE)&lt;N$149,0,10-(N$150-VLOOKUP($B68,'Indicator Data (national)'!$B$5:$AS$14,44,FALSE))/(N$150-N$149)*10)))</f>
        <v>3.9000000000000004</v>
      </c>
      <c r="O68" s="2">
        <f>IF(VLOOKUP($B68,'Indicator Data (national)'!$B$5:$AS$14,42,FALSE)="No data","x",IF(VLOOKUP($B68,'Indicator Data (national)'!$B$5:$AS$14,42,FALSE)&gt;O$150,0,IF(VLOOKUP($B68,'Indicator Data (national)'!$B$5:$AS$14,42,FALSE)&lt;O$149,10,(O$150-VLOOKUP($B68,'Indicator Data (national)'!$B$5:$AS$14,42,FALSE))/(O$150-O$149)*10)))</f>
        <v>9.3507578421680311</v>
      </c>
      <c r="P68" s="158">
        <f t="shared" ref="P68:P131" si="26">IF(AND(N68="x",O68="x"),"x",AVERAGE(O68,N68))</f>
        <v>6.6253789210840157</v>
      </c>
      <c r="Q68" s="2">
        <f>IF(VLOOKUP($B68,'Indicator Data (national)'!$B$5:$Q$14,16,FALSE)="No data","x",IF(VLOOKUP($B68,'Indicator Data (national)'!$B$5:$Q$14,16,FALSE)&gt;Q$150,0,IF(VLOOKUP($B68,'Indicator Data (national)'!$B$5:$Q$14,16,FALSE)&lt;Q$149,10,(Q$150-VLOOKUP($B68,'Indicator Data (national)'!$B$5:$Q$14,16,FALSE))/(Q$150-Q$149)*10)))</f>
        <v>8.1999999999999993</v>
      </c>
      <c r="R68" s="158">
        <f t="shared" ref="R68:R131" si="27">Q68</f>
        <v>8.1999999999999993</v>
      </c>
      <c r="S68" s="3">
        <f t="shared" si="18"/>
        <v>7.4126894605420075</v>
      </c>
      <c r="T68" s="2">
        <f>IF(VLOOKUP($B68,'Indicator Data (national)'!$B$5:$BC$14,43,FALSE)="No data","x",IF(VLOOKUP($B68,'Indicator Data (national)'!$B$5:$BC$14,43,FALSE)&gt;T$150,10,IF(VLOOKUP($B68,'Indicator Data (national)'!$B$5:$BC$14,43,FALSE)&lt;T$149,0,(T$150-VLOOKUP($B68,'Indicator Data (national)'!$B$5:$BC$14,43,FALSE))/(T$150-T$149)*10)))</f>
        <v>9.8647237723687979</v>
      </c>
      <c r="U68" s="3">
        <f t="shared" ref="U68:U131" si="28">T68</f>
        <v>9.8647237723687979</v>
      </c>
      <c r="V68" s="5">
        <f t="shared" si="19"/>
        <v>6.5964036522675329</v>
      </c>
      <c r="W68" s="2">
        <f>IF(VLOOKUP($B68,'Indicator Data (national)'!$B$5:$AS$14,37,FALSE)="No data","x",IF(VLOOKUP($B68,'Indicator Data (national)'!$B$5:$AS$14,37,FALSE)&gt;W$150,10,IF(VLOOKUP($B68,'Indicator Data (national)'!$B$5:$AS$14,37,FALSE)&lt;W$149,0,(LOG(W$150)-LOG(VLOOKUP($B68,'Indicator Data (national)'!$B$5:$AS$14,37,FALSE)))/(LOG(W$150)-LOG(W$149))*10)))</f>
        <v>7.6457347942026841</v>
      </c>
      <c r="X68" s="2">
        <f>IF(VLOOKUP($B68,'Indicator Data (national)'!$B$5:$BB$14,45,FALSE)="No data","x",IF(VLOOKUP($B68,'Indicator Data (national)'!$B$5:$BB$14,45,FALSE)&gt;X$150,10,IF(VLOOKUP($B68,'Indicator Data (national)'!$B$5:$BB$14,45,FALSE)&lt;X$149,0,10-(X$150-VLOOKUP($B68,'Indicator Data (national)'!$B$5:$BB$14,45,FALSE))/(X$150-X$149)*10)))</f>
        <v>6.2222222222222223</v>
      </c>
      <c r="Y68" s="2">
        <f>IF(VLOOKUP($B68,'Indicator Data (national)'!$B$5:$BB$14,46,FALSE)="No data","x",IF(VLOOKUP($B68,'Indicator Data (national)'!$B$5:$BB$14,46,FALSE)&gt;Y$150,10,IF(VLOOKUP($B68,'Indicator Data (national)'!$B$5:$BB$14,46,FALSE)&lt;Y$149,0,(Y$150-VLOOKUP($B68,'Indicator Data (national)'!$B$5:$BB$14,46,FALSE))/(Y$150-Y$149)*10)))</f>
        <v>8</v>
      </c>
      <c r="Z68" s="156">
        <f>IF(VLOOKUP($B68,'Indicator Data (national)'!$B$5:$BB$14,48,FALSE)="No data","x",VLOOKUP($B68,'Indicator Data (national)'!$B$5:$BB$14,47,FALSE)*VLOOKUP($B68,'Indicator Data (national)'!$B$5:$BB$14,48,FALSE))</f>
        <v>9.814910769612494</v>
      </c>
      <c r="AA68" s="2">
        <f t="shared" ref="AA68:AA131" si="29">IF(Z68="x","x",IF(Z68&gt;AA$150,0,IF(Z68&lt;AA$149,10,(AA$150-Z68)/(AA$150-AA$149)*10)))</f>
        <v>9.0185089230387501</v>
      </c>
      <c r="AB68" s="3">
        <f t="shared" ref="AB68:AB131" si="30">IF(AND(W68="x",X68="x",Y68="x",AA68="x"),"x",AVERAGE(X68,Y68,AA68,W68))</f>
        <v>7.7216164848659146</v>
      </c>
      <c r="AC68" s="2">
        <f>IF(VLOOKUP($B68,'Indicator Data (national)'!$B$5:$BB$14,49,FALSE)="No data","x",IF(VLOOKUP($B68,'Indicator Data (national)'!$B$5:$BB$14,49,FALSE)&gt;AC$150,0,IF(VLOOKUP($B68,'Indicator Data (national)'!$B$5:$BB$14,49,FALSE)&lt;AC$149,10,(AC$150-VLOOKUP($B68,'Indicator Data (national)'!$B$5:$BB$14,49,FALSE))/(AC$150-AC$149)*10)))</f>
        <v>8.6440000000000001</v>
      </c>
      <c r="AD68" s="2">
        <f>IF(VLOOKUP($B68,'Indicator Data (national)'!$B$5:$BB$14,50,FALSE)="No data","x",IF(VLOOKUP($B68,'Indicator Data (national)'!$B$5:$BB$14,50,FALSE)&gt;AD$150,0,IF(VLOOKUP($B68,'Indicator Data (national)'!$B$5:$BB$14,50,FALSE)&lt;AD$149,10,(AD$150-VLOOKUP($B68,'Indicator Data (national)'!$B$5:$BB$14,50,FALSE))/(AD$150-AD$149)*10)))</f>
        <v>8.6471999999999998</v>
      </c>
      <c r="AE68" s="3">
        <f t="shared" ref="AE68:AE131" si="31">IF(AND(AC68="x",AD68="x"),"x",AVERAGE(AC68,AD68))</f>
        <v>8.6456</v>
      </c>
      <c r="AF68" s="2">
        <f>IF(VLOOKUP($B68,'Indicator Data (national)'!$B$5:$BB$14,51,FALSE)="No data","x",IF(VLOOKUP($B68,'Indicator Data (national)'!$B$5:$BB$14,51,FALSE)&gt;AF$150,0,IF(VLOOKUP($B68,'Indicator Data (national)'!$B$5:$BB$14,51,FALSE)&lt;AF$149,10,(AF$150-VLOOKUP($B68,'Indicator Data (national)'!$B$5:$BB$14,51,FALSE))/(AF$150-AF$149)*10)))</f>
        <v>0</v>
      </c>
      <c r="AG68" s="2">
        <f>IF(VLOOKUP($B68,'Indicator Data (national)'!$B$5:$BB$14,52,FALSE)="No data","x",IF(VLOOKUP($B68,'Indicator Data (national)'!$B$5:$BB$14,52,FALSE)&gt;AG$150,0,IF(VLOOKUP($B68,'Indicator Data (national)'!$B$5:$BB$14,52,FALSE)&lt;AG$149,10,(AG$150-VLOOKUP($B68,'Indicator Data (national)'!$B$5:$BB$14,52,FALSE))/(AG$150-AG$149)*10)))</f>
        <v>0</v>
      </c>
      <c r="AH68" s="2">
        <f>IF(VLOOKUP($B68,'Indicator Data (national)'!$B$5:$BB$14,53,FALSE)="No data","x",IF(VLOOKUP($B68,'Indicator Data (national)'!$B$5:$BB$14,53,FALSE)&gt;AH$150,0,IF(VLOOKUP($B68,'Indicator Data (national)'!$B$5:$BB$14,53,FALSE)&lt;AH$149,10,(AH$150-VLOOKUP($B68,'Indicator Data (national)'!$B$5:$BB$14,53,FALSE))/(AH$150-AH$149)*10)))</f>
        <v>5.1780682960214941</v>
      </c>
      <c r="AI68" s="3">
        <f t="shared" ref="AI68:AI131" si="32">IF(AND(AF68="x",AG68="x",AH68="x"),"x",AVERAGE(AG68,AF68,AH68))</f>
        <v>1.726022765340498</v>
      </c>
      <c r="AJ68" s="5">
        <f t="shared" si="20"/>
        <v>6.0310797500688045</v>
      </c>
    </row>
    <row r="69" spans="1:36" s="11" customFormat="1" x14ac:dyDescent="0.25">
      <c r="A69" s="16" t="s">
        <v>436</v>
      </c>
      <c r="B69" s="11" t="s">
        <v>576</v>
      </c>
      <c r="C69" s="126" t="s">
        <v>661</v>
      </c>
      <c r="D69" s="120">
        <f>(VLOOKUP($B69,'Indicator Data (national)'!$B$5:$AP$14,39,FALSE)+VLOOKUP($B69,'Indicator Data (national)'!$B$5:$AP$14,40,FALSE)+VLOOKUP($B69,'Indicator Data (national)'!$B$5:$AP$14,41,FALSE))/VLOOKUP($B69,'Indicator Data (national)'!$B$5:$AP$14,38,FALSE)*1000000</f>
        <v>0.3850863279901553</v>
      </c>
      <c r="E69" s="2">
        <f t="shared" si="21"/>
        <v>8.0745683600492235</v>
      </c>
      <c r="F69" s="3">
        <f t="shared" si="22"/>
        <v>8.0745683600492235</v>
      </c>
      <c r="G69" s="2">
        <f>IF(VLOOKUP($B69,'Indicator Data (national)'!$B$5:$AQ$14,30,FALSE)="No data","x",IF(VLOOKUP($B69,'Indicator Data (national)'!$B$5:$AQ$14,30,FALSE)&gt;G$150,10,IF(VLOOKUP($B69,'Indicator Data (national)'!$B$5:$AQ$14,30,FALSE)&lt;G$149,0,(G$150-VLOOKUP($B69,'Indicator Data (national)'!$B$5:$AQ$14,30,FALSE))/(G$150-G$149)*10)))</f>
        <v>7.5</v>
      </c>
      <c r="H69" s="2">
        <f>IF(VLOOKUP($B69,'Indicator Data (national)'!$B$5:$AQ$14,29,FALSE)="No data","x",IF(VLOOKUP($B69,'Indicator Data (national)'!$B$5:$AQ$14,29,FALSE)&gt;H$150,10,IF(VLOOKUP($B69,'Indicator Data (national)'!$B$5:$AQ$14,29,FALSE)&lt;H$149,0,(H$150-VLOOKUP($B69,'Indicator Data (national)'!$B$5:$AQ$14,29,FALSE))/(H$150-H$149)*10)))</f>
        <v>5.9728583693504333</v>
      </c>
      <c r="I69" s="3">
        <f t="shared" si="23"/>
        <v>6.7364291846752167</v>
      </c>
      <c r="J69" s="5">
        <f t="shared" si="24"/>
        <v>7.4054987723622201</v>
      </c>
      <c r="K69" s="2">
        <f>IF(VLOOKUP($B69,'Indicator Data (national)'!$B$5:$AQ$14,33,FALSE)="No data","x",IF(VLOOKUP($B69,'Indicator Data (national)'!$B$5:$AQ$14,33,FALSE)&gt;K$150,10,IF(VLOOKUP($B69,'Indicator Data (national)'!$B$5:$AQ$14,33,FALSE)&lt;K$149,0,(K$150-VLOOKUP($B69,'Indicator Data (national)'!$B$5:$AQ$14,33,FALSE))/(K$150-K$149)*10)))</f>
        <v>2.2000000000000002</v>
      </c>
      <c r="L69" s="2">
        <f>IF(VLOOKUP($B69,'Indicator Data (national)'!$B$5:$AQ$14,34,FALSE)="No data","x",IF(VLOOKUP($B69,'Indicator Data (national)'!$B$5:$AQ$14,34,FALSE)&gt;L$150,10,IF(VLOOKUP($B69,'Indicator Data (national)'!$B$5:$AQ$14,34,FALSE)&lt;L$149,0,(L$150-VLOOKUP($B69,'Indicator Data (national)'!$B$5:$AQ$14,34,FALSE))/(L$150-L$149)*10)))</f>
        <v>2.8235954477835907</v>
      </c>
      <c r="M69" s="3">
        <f t="shared" si="25"/>
        <v>2.5117977238917955</v>
      </c>
      <c r="N69" s="2">
        <f>IF(VLOOKUP($B69,'Indicator Data (national)'!$B$5:$AS$14,44,FALSE)="No data","x",IF(VLOOKUP($B69,'Indicator Data (national)'!$B$5:$AS$14,44,FALSE)&gt;N$150,10,IF(VLOOKUP($B69,'Indicator Data (national)'!$B$5:$AS$14,44,FALSE)&lt;N$149,0,10-(N$150-VLOOKUP($B69,'Indicator Data (national)'!$B$5:$AS$14,44,FALSE))/(N$150-N$149)*10)))</f>
        <v>3.9000000000000004</v>
      </c>
      <c r="O69" s="2">
        <f>IF(VLOOKUP($B69,'Indicator Data (national)'!$B$5:$AS$14,42,FALSE)="No data","x",IF(VLOOKUP($B69,'Indicator Data (national)'!$B$5:$AS$14,42,FALSE)&gt;O$150,0,IF(VLOOKUP($B69,'Indicator Data (national)'!$B$5:$AS$14,42,FALSE)&lt;O$149,10,(O$150-VLOOKUP($B69,'Indicator Data (national)'!$B$5:$AS$14,42,FALSE))/(O$150-O$149)*10)))</f>
        <v>9.3507578421680311</v>
      </c>
      <c r="P69" s="158">
        <f t="shared" si="26"/>
        <v>6.6253789210840157</v>
      </c>
      <c r="Q69" s="2">
        <f>IF(VLOOKUP($B69,'Indicator Data (national)'!$B$5:$Q$14,16,FALSE)="No data","x",IF(VLOOKUP($B69,'Indicator Data (national)'!$B$5:$Q$14,16,FALSE)&gt;Q$150,0,IF(VLOOKUP($B69,'Indicator Data (national)'!$B$5:$Q$14,16,FALSE)&lt;Q$149,10,(Q$150-VLOOKUP($B69,'Indicator Data (national)'!$B$5:$Q$14,16,FALSE))/(Q$150-Q$149)*10)))</f>
        <v>8.1999999999999993</v>
      </c>
      <c r="R69" s="158">
        <f t="shared" si="27"/>
        <v>8.1999999999999993</v>
      </c>
      <c r="S69" s="3">
        <f t="shared" si="18"/>
        <v>7.4126894605420075</v>
      </c>
      <c r="T69" s="2">
        <f>IF(VLOOKUP($B69,'Indicator Data (national)'!$B$5:$BC$14,43,FALSE)="No data","x",IF(VLOOKUP($B69,'Indicator Data (national)'!$B$5:$BC$14,43,FALSE)&gt;T$150,10,IF(VLOOKUP($B69,'Indicator Data (national)'!$B$5:$BC$14,43,FALSE)&lt;T$149,0,(T$150-VLOOKUP($B69,'Indicator Data (national)'!$B$5:$BC$14,43,FALSE))/(T$150-T$149)*10)))</f>
        <v>9.8647237723687979</v>
      </c>
      <c r="U69" s="3">
        <f t="shared" si="28"/>
        <v>9.8647237723687979</v>
      </c>
      <c r="V69" s="5">
        <f t="shared" si="19"/>
        <v>6.5964036522675329</v>
      </c>
      <c r="W69" s="2">
        <f>IF(VLOOKUP($B69,'Indicator Data (national)'!$B$5:$AS$14,37,FALSE)="No data","x",IF(VLOOKUP($B69,'Indicator Data (national)'!$B$5:$AS$14,37,FALSE)&gt;W$150,10,IF(VLOOKUP($B69,'Indicator Data (national)'!$B$5:$AS$14,37,FALSE)&lt;W$149,0,(LOG(W$150)-LOG(VLOOKUP($B69,'Indicator Data (national)'!$B$5:$AS$14,37,FALSE)))/(LOG(W$150)-LOG(W$149))*10)))</f>
        <v>7.6457347942026841</v>
      </c>
      <c r="X69" s="2">
        <f>IF(VLOOKUP($B69,'Indicator Data (national)'!$B$5:$BB$14,45,FALSE)="No data","x",IF(VLOOKUP($B69,'Indicator Data (national)'!$B$5:$BB$14,45,FALSE)&gt;X$150,10,IF(VLOOKUP($B69,'Indicator Data (national)'!$B$5:$BB$14,45,FALSE)&lt;X$149,0,10-(X$150-VLOOKUP($B69,'Indicator Data (national)'!$B$5:$BB$14,45,FALSE))/(X$150-X$149)*10)))</f>
        <v>6.2222222222222223</v>
      </c>
      <c r="Y69" s="2">
        <f>IF(VLOOKUP($B69,'Indicator Data (national)'!$B$5:$BB$14,46,FALSE)="No data","x",IF(VLOOKUP($B69,'Indicator Data (national)'!$B$5:$BB$14,46,FALSE)&gt;Y$150,10,IF(VLOOKUP($B69,'Indicator Data (national)'!$B$5:$BB$14,46,FALSE)&lt;Y$149,0,(Y$150-VLOOKUP($B69,'Indicator Data (national)'!$B$5:$BB$14,46,FALSE))/(Y$150-Y$149)*10)))</f>
        <v>8</v>
      </c>
      <c r="Z69" s="156">
        <f>IF(VLOOKUP($B69,'Indicator Data (national)'!$B$5:$BB$14,48,FALSE)="No data","x",VLOOKUP($B69,'Indicator Data (national)'!$B$5:$BB$14,47,FALSE)*VLOOKUP($B69,'Indicator Data (national)'!$B$5:$BB$14,48,FALSE))</f>
        <v>9.814910769612494</v>
      </c>
      <c r="AA69" s="2">
        <f t="shared" si="29"/>
        <v>9.0185089230387501</v>
      </c>
      <c r="AB69" s="3">
        <f t="shared" si="30"/>
        <v>7.7216164848659146</v>
      </c>
      <c r="AC69" s="2">
        <f>IF(VLOOKUP($B69,'Indicator Data (national)'!$B$5:$BB$14,49,FALSE)="No data","x",IF(VLOOKUP($B69,'Indicator Data (national)'!$B$5:$BB$14,49,FALSE)&gt;AC$150,0,IF(VLOOKUP($B69,'Indicator Data (national)'!$B$5:$BB$14,49,FALSE)&lt;AC$149,10,(AC$150-VLOOKUP($B69,'Indicator Data (national)'!$B$5:$BB$14,49,FALSE))/(AC$150-AC$149)*10)))</f>
        <v>8.6440000000000001</v>
      </c>
      <c r="AD69" s="2">
        <f>IF(VLOOKUP($B69,'Indicator Data (national)'!$B$5:$BB$14,50,FALSE)="No data","x",IF(VLOOKUP($B69,'Indicator Data (national)'!$B$5:$BB$14,50,FALSE)&gt;AD$150,0,IF(VLOOKUP($B69,'Indicator Data (national)'!$B$5:$BB$14,50,FALSE)&lt;AD$149,10,(AD$150-VLOOKUP($B69,'Indicator Data (national)'!$B$5:$BB$14,50,FALSE))/(AD$150-AD$149)*10)))</f>
        <v>8.6471999999999998</v>
      </c>
      <c r="AE69" s="3">
        <f t="shared" si="31"/>
        <v>8.6456</v>
      </c>
      <c r="AF69" s="2">
        <f>IF(VLOOKUP($B69,'Indicator Data (national)'!$B$5:$BB$14,51,FALSE)="No data","x",IF(VLOOKUP($B69,'Indicator Data (national)'!$B$5:$BB$14,51,FALSE)&gt;AF$150,0,IF(VLOOKUP($B69,'Indicator Data (national)'!$B$5:$BB$14,51,FALSE)&lt;AF$149,10,(AF$150-VLOOKUP($B69,'Indicator Data (national)'!$B$5:$BB$14,51,FALSE))/(AF$150-AF$149)*10)))</f>
        <v>0</v>
      </c>
      <c r="AG69" s="2">
        <f>IF(VLOOKUP($B69,'Indicator Data (national)'!$B$5:$BB$14,52,FALSE)="No data","x",IF(VLOOKUP($B69,'Indicator Data (national)'!$B$5:$BB$14,52,FALSE)&gt;AG$150,0,IF(VLOOKUP($B69,'Indicator Data (national)'!$B$5:$BB$14,52,FALSE)&lt;AG$149,10,(AG$150-VLOOKUP($B69,'Indicator Data (national)'!$B$5:$BB$14,52,FALSE))/(AG$150-AG$149)*10)))</f>
        <v>0</v>
      </c>
      <c r="AH69" s="2">
        <f>IF(VLOOKUP($B69,'Indicator Data (national)'!$B$5:$BB$14,53,FALSE)="No data","x",IF(VLOOKUP($B69,'Indicator Data (national)'!$B$5:$BB$14,53,FALSE)&gt;AH$150,0,IF(VLOOKUP($B69,'Indicator Data (national)'!$B$5:$BB$14,53,FALSE)&lt;AH$149,10,(AH$150-VLOOKUP($B69,'Indicator Data (national)'!$B$5:$BB$14,53,FALSE))/(AH$150-AH$149)*10)))</f>
        <v>5.1780682960214941</v>
      </c>
      <c r="AI69" s="3">
        <f t="shared" si="32"/>
        <v>1.726022765340498</v>
      </c>
      <c r="AJ69" s="5">
        <f t="shared" si="20"/>
        <v>6.0310797500688045</v>
      </c>
    </row>
    <row r="70" spans="1:36" s="11" customFormat="1" x14ac:dyDescent="0.25">
      <c r="A70" s="16" t="s">
        <v>437</v>
      </c>
      <c r="B70" s="11" t="s">
        <v>576</v>
      </c>
      <c r="C70" s="126" t="s">
        <v>662</v>
      </c>
      <c r="D70" s="120">
        <f>(VLOOKUP($B70,'Indicator Data (national)'!$B$5:$AP$14,39,FALSE)+VLOOKUP($B70,'Indicator Data (national)'!$B$5:$AP$14,40,FALSE)+VLOOKUP($B70,'Indicator Data (national)'!$B$5:$AP$14,41,FALSE))/VLOOKUP($B70,'Indicator Data (national)'!$B$5:$AP$14,38,FALSE)*1000000</f>
        <v>0.3850863279901553</v>
      </c>
      <c r="E70" s="2">
        <f t="shared" si="21"/>
        <v>8.0745683600492235</v>
      </c>
      <c r="F70" s="3">
        <f t="shared" si="22"/>
        <v>8.0745683600492235</v>
      </c>
      <c r="G70" s="2">
        <f>IF(VLOOKUP($B70,'Indicator Data (national)'!$B$5:$AQ$14,30,FALSE)="No data","x",IF(VLOOKUP($B70,'Indicator Data (national)'!$B$5:$AQ$14,30,FALSE)&gt;G$150,10,IF(VLOOKUP($B70,'Indicator Data (national)'!$B$5:$AQ$14,30,FALSE)&lt;G$149,0,(G$150-VLOOKUP($B70,'Indicator Data (national)'!$B$5:$AQ$14,30,FALSE))/(G$150-G$149)*10)))</f>
        <v>7.5</v>
      </c>
      <c r="H70" s="2">
        <f>IF(VLOOKUP($B70,'Indicator Data (national)'!$B$5:$AQ$14,29,FALSE)="No data","x",IF(VLOOKUP($B70,'Indicator Data (national)'!$B$5:$AQ$14,29,FALSE)&gt;H$150,10,IF(VLOOKUP($B70,'Indicator Data (national)'!$B$5:$AQ$14,29,FALSE)&lt;H$149,0,(H$150-VLOOKUP($B70,'Indicator Data (national)'!$B$5:$AQ$14,29,FALSE))/(H$150-H$149)*10)))</f>
        <v>5.9728583693504333</v>
      </c>
      <c r="I70" s="3">
        <f t="shared" si="23"/>
        <v>6.7364291846752167</v>
      </c>
      <c r="J70" s="5">
        <f t="shared" si="24"/>
        <v>7.4054987723622201</v>
      </c>
      <c r="K70" s="2">
        <f>IF(VLOOKUP($B70,'Indicator Data (national)'!$B$5:$AQ$14,33,FALSE)="No data","x",IF(VLOOKUP($B70,'Indicator Data (national)'!$B$5:$AQ$14,33,FALSE)&gt;K$150,10,IF(VLOOKUP($B70,'Indicator Data (national)'!$B$5:$AQ$14,33,FALSE)&lt;K$149,0,(K$150-VLOOKUP($B70,'Indicator Data (national)'!$B$5:$AQ$14,33,FALSE))/(K$150-K$149)*10)))</f>
        <v>2.2000000000000002</v>
      </c>
      <c r="L70" s="2">
        <f>IF(VLOOKUP($B70,'Indicator Data (national)'!$B$5:$AQ$14,34,FALSE)="No data","x",IF(VLOOKUP($B70,'Indicator Data (national)'!$B$5:$AQ$14,34,FALSE)&gt;L$150,10,IF(VLOOKUP($B70,'Indicator Data (national)'!$B$5:$AQ$14,34,FALSE)&lt;L$149,0,(L$150-VLOOKUP($B70,'Indicator Data (national)'!$B$5:$AQ$14,34,FALSE))/(L$150-L$149)*10)))</f>
        <v>2.8235954477835907</v>
      </c>
      <c r="M70" s="3">
        <f t="shared" si="25"/>
        <v>2.5117977238917955</v>
      </c>
      <c r="N70" s="2">
        <f>IF(VLOOKUP($B70,'Indicator Data (national)'!$B$5:$AS$14,44,FALSE)="No data","x",IF(VLOOKUP($B70,'Indicator Data (national)'!$B$5:$AS$14,44,FALSE)&gt;N$150,10,IF(VLOOKUP($B70,'Indicator Data (national)'!$B$5:$AS$14,44,FALSE)&lt;N$149,0,10-(N$150-VLOOKUP($B70,'Indicator Data (national)'!$B$5:$AS$14,44,FALSE))/(N$150-N$149)*10)))</f>
        <v>3.9000000000000004</v>
      </c>
      <c r="O70" s="2">
        <f>IF(VLOOKUP($B70,'Indicator Data (national)'!$B$5:$AS$14,42,FALSE)="No data","x",IF(VLOOKUP($B70,'Indicator Data (national)'!$B$5:$AS$14,42,FALSE)&gt;O$150,0,IF(VLOOKUP($B70,'Indicator Data (national)'!$B$5:$AS$14,42,FALSE)&lt;O$149,10,(O$150-VLOOKUP($B70,'Indicator Data (national)'!$B$5:$AS$14,42,FALSE))/(O$150-O$149)*10)))</f>
        <v>9.3507578421680311</v>
      </c>
      <c r="P70" s="158">
        <f t="shared" si="26"/>
        <v>6.6253789210840157</v>
      </c>
      <c r="Q70" s="2">
        <f>IF(VLOOKUP($B70,'Indicator Data (national)'!$B$5:$Q$14,16,FALSE)="No data","x",IF(VLOOKUP($B70,'Indicator Data (national)'!$B$5:$Q$14,16,FALSE)&gt;Q$150,0,IF(VLOOKUP($B70,'Indicator Data (national)'!$B$5:$Q$14,16,FALSE)&lt;Q$149,10,(Q$150-VLOOKUP($B70,'Indicator Data (national)'!$B$5:$Q$14,16,FALSE))/(Q$150-Q$149)*10)))</f>
        <v>8.1999999999999993</v>
      </c>
      <c r="R70" s="158">
        <f t="shared" si="27"/>
        <v>8.1999999999999993</v>
      </c>
      <c r="S70" s="3">
        <f t="shared" si="18"/>
        <v>7.4126894605420075</v>
      </c>
      <c r="T70" s="2">
        <f>IF(VLOOKUP($B70,'Indicator Data (national)'!$B$5:$BC$14,43,FALSE)="No data","x",IF(VLOOKUP($B70,'Indicator Data (national)'!$B$5:$BC$14,43,FALSE)&gt;T$150,10,IF(VLOOKUP($B70,'Indicator Data (national)'!$B$5:$BC$14,43,FALSE)&lt;T$149,0,(T$150-VLOOKUP($B70,'Indicator Data (national)'!$B$5:$BC$14,43,FALSE))/(T$150-T$149)*10)))</f>
        <v>9.8647237723687979</v>
      </c>
      <c r="U70" s="3">
        <f t="shared" si="28"/>
        <v>9.8647237723687979</v>
      </c>
      <c r="V70" s="5">
        <f t="shared" si="19"/>
        <v>6.5964036522675329</v>
      </c>
      <c r="W70" s="2">
        <f>IF(VLOOKUP($B70,'Indicator Data (national)'!$B$5:$AS$14,37,FALSE)="No data","x",IF(VLOOKUP($B70,'Indicator Data (national)'!$B$5:$AS$14,37,FALSE)&gt;W$150,10,IF(VLOOKUP($B70,'Indicator Data (national)'!$B$5:$AS$14,37,FALSE)&lt;W$149,0,(LOG(W$150)-LOG(VLOOKUP($B70,'Indicator Data (national)'!$B$5:$AS$14,37,FALSE)))/(LOG(W$150)-LOG(W$149))*10)))</f>
        <v>7.6457347942026841</v>
      </c>
      <c r="X70" s="2">
        <f>IF(VLOOKUP($B70,'Indicator Data (national)'!$B$5:$BB$14,45,FALSE)="No data","x",IF(VLOOKUP($B70,'Indicator Data (national)'!$B$5:$BB$14,45,FALSE)&gt;X$150,10,IF(VLOOKUP($B70,'Indicator Data (national)'!$B$5:$BB$14,45,FALSE)&lt;X$149,0,10-(X$150-VLOOKUP($B70,'Indicator Data (national)'!$B$5:$BB$14,45,FALSE))/(X$150-X$149)*10)))</f>
        <v>6.2222222222222223</v>
      </c>
      <c r="Y70" s="2">
        <f>IF(VLOOKUP($B70,'Indicator Data (national)'!$B$5:$BB$14,46,FALSE)="No data","x",IF(VLOOKUP($B70,'Indicator Data (national)'!$B$5:$BB$14,46,FALSE)&gt;Y$150,10,IF(VLOOKUP($B70,'Indicator Data (national)'!$B$5:$BB$14,46,FALSE)&lt;Y$149,0,(Y$150-VLOOKUP($B70,'Indicator Data (national)'!$B$5:$BB$14,46,FALSE))/(Y$150-Y$149)*10)))</f>
        <v>8</v>
      </c>
      <c r="Z70" s="156">
        <f>IF(VLOOKUP($B70,'Indicator Data (national)'!$B$5:$BB$14,48,FALSE)="No data","x",VLOOKUP($B70,'Indicator Data (national)'!$B$5:$BB$14,47,FALSE)*VLOOKUP($B70,'Indicator Data (national)'!$B$5:$BB$14,48,FALSE))</f>
        <v>9.814910769612494</v>
      </c>
      <c r="AA70" s="2">
        <f t="shared" si="29"/>
        <v>9.0185089230387501</v>
      </c>
      <c r="AB70" s="3">
        <f t="shared" si="30"/>
        <v>7.7216164848659146</v>
      </c>
      <c r="AC70" s="2">
        <f>IF(VLOOKUP($B70,'Indicator Data (national)'!$B$5:$BB$14,49,FALSE)="No data","x",IF(VLOOKUP($B70,'Indicator Data (national)'!$B$5:$BB$14,49,FALSE)&gt;AC$150,0,IF(VLOOKUP($B70,'Indicator Data (national)'!$B$5:$BB$14,49,FALSE)&lt;AC$149,10,(AC$150-VLOOKUP($B70,'Indicator Data (national)'!$B$5:$BB$14,49,FALSE))/(AC$150-AC$149)*10)))</f>
        <v>8.6440000000000001</v>
      </c>
      <c r="AD70" s="2">
        <f>IF(VLOOKUP($B70,'Indicator Data (national)'!$B$5:$BB$14,50,FALSE)="No data","x",IF(VLOOKUP($B70,'Indicator Data (national)'!$B$5:$BB$14,50,FALSE)&gt;AD$150,0,IF(VLOOKUP($B70,'Indicator Data (national)'!$B$5:$BB$14,50,FALSE)&lt;AD$149,10,(AD$150-VLOOKUP($B70,'Indicator Data (national)'!$B$5:$BB$14,50,FALSE))/(AD$150-AD$149)*10)))</f>
        <v>8.6471999999999998</v>
      </c>
      <c r="AE70" s="3">
        <f t="shared" si="31"/>
        <v>8.6456</v>
      </c>
      <c r="AF70" s="2">
        <f>IF(VLOOKUP($B70,'Indicator Data (national)'!$B$5:$BB$14,51,FALSE)="No data","x",IF(VLOOKUP($B70,'Indicator Data (national)'!$B$5:$BB$14,51,FALSE)&gt;AF$150,0,IF(VLOOKUP($B70,'Indicator Data (national)'!$B$5:$BB$14,51,FALSE)&lt;AF$149,10,(AF$150-VLOOKUP($B70,'Indicator Data (national)'!$B$5:$BB$14,51,FALSE))/(AF$150-AF$149)*10)))</f>
        <v>0</v>
      </c>
      <c r="AG70" s="2">
        <f>IF(VLOOKUP($B70,'Indicator Data (national)'!$B$5:$BB$14,52,FALSE)="No data","x",IF(VLOOKUP($B70,'Indicator Data (national)'!$B$5:$BB$14,52,FALSE)&gt;AG$150,0,IF(VLOOKUP($B70,'Indicator Data (national)'!$B$5:$BB$14,52,FALSE)&lt;AG$149,10,(AG$150-VLOOKUP($B70,'Indicator Data (national)'!$B$5:$BB$14,52,FALSE))/(AG$150-AG$149)*10)))</f>
        <v>0</v>
      </c>
      <c r="AH70" s="2">
        <f>IF(VLOOKUP($B70,'Indicator Data (national)'!$B$5:$BB$14,53,FALSE)="No data","x",IF(VLOOKUP($B70,'Indicator Data (national)'!$B$5:$BB$14,53,FALSE)&gt;AH$150,0,IF(VLOOKUP($B70,'Indicator Data (national)'!$B$5:$BB$14,53,FALSE)&lt;AH$149,10,(AH$150-VLOOKUP($B70,'Indicator Data (national)'!$B$5:$BB$14,53,FALSE))/(AH$150-AH$149)*10)))</f>
        <v>5.1780682960214941</v>
      </c>
      <c r="AI70" s="3">
        <f t="shared" si="32"/>
        <v>1.726022765340498</v>
      </c>
      <c r="AJ70" s="5">
        <f t="shared" si="20"/>
        <v>6.0310797500688045</v>
      </c>
    </row>
    <row r="71" spans="1:36" s="11" customFormat="1" x14ac:dyDescent="0.25">
      <c r="A71" s="16" t="s">
        <v>438</v>
      </c>
      <c r="B71" s="11" t="s">
        <v>576</v>
      </c>
      <c r="C71" s="126" t="s">
        <v>663</v>
      </c>
      <c r="D71" s="120">
        <f>(VLOOKUP($B71,'Indicator Data (national)'!$B$5:$AP$14,39,FALSE)+VLOOKUP($B71,'Indicator Data (national)'!$B$5:$AP$14,40,FALSE)+VLOOKUP($B71,'Indicator Data (national)'!$B$5:$AP$14,41,FALSE))/VLOOKUP($B71,'Indicator Data (national)'!$B$5:$AP$14,38,FALSE)*1000000</f>
        <v>0.3850863279901553</v>
      </c>
      <c r="E71" s="2">
        <f t="shared" si="21"/>
        <v>8.0745683600492235</v>
      </c>
      <c r="F71" s="3">
        <f t="shared" si="22"/>
        <v>8.0745683600492235</v>
      </c>
      <c r="G71" s="2">
        <f>IF(VLOOKUP($B71,'Indicator Data (national)'!$B$5:$AQ$14,30,FALSE)="No data","x",IF(VLOOKUP($B71,'Indicator Data (national)'!$B$5:$AQ$14,30,FALSE)&gt;G$150,10,IF(VLOOKUP($B71,'Indicator Data (national)'!$B$5:$AQ$14,30,FALSE)&lt;G$149,0,(G$150-VLOOKUP($B71,'Indicator Data (national)'!$B$5:$AQ$14,30,FALSE))/(G$150-G$149)*10)))</f>
        <v>7.5</v>
      </c>
      <c r="H71" s="2">
        <f>IF(VLOOKUP($B71,'Indicator Data (national)'!$B$5:$AQ$14,29,FALSE)="No data","x",IF(VLOOKUP($B71,'Indicator Data (national)'!$B$5:$AQ$14,29,FALSE)&gt;H$150,10,IF(VLOOKUP($B71,'Indicator Data (national)'!$B$5:$AQ$14,29,FALSE)&lt;H$149,0,(H$150-VLOOKUP($B71,'Indicator Data (national)'!$B$5:$AQ$14,29,FALSE))/(H$150-H$149)*10)))</f>
        <v>5.9728583693504333</v>
      </c>
      <c r="I71" s="3">
        <f t="shared" si="23"/>
        <v>6.7364291846752167</v>
      </c>
      <c r="J71" s="5">
        <f t="shared" si="24"/>
        <v>7.4054987723622201</v>
      </c>
      <c r="K71" s="2">
        <f>IF(VLOOKUP($B71,'Indicator Data (national)'!$B$5:$AQ$14,33,FALSE)="No data","x",IF(VLOOKUP($B71,'Indicator Data (national)'!$B$5:$AQ$14,33,FALSE)&gt;K$150,10,IF(VLOOKUP($B71,'Indicator Data (national)'!$B$5:$AQ$14,33,FALSE)&lt;K$149,0,(K$150-VLOOKUP($B71,'Indicator Data (national)'!$B$5:$AQ$14,33,FALSE))/(K$150-K$149)*10)))</f>
        <v>2.2000000000000002</v>
      </c>
      <c r="L71" s="2">
        <f>IF(VLOOKUP($B71,'Indicator Data (national)'!$B$5:$AQ$14,34,FALSE)="No data","x",IF(VLOOKUP($B71,'Indicator Data (national)'!$B$5:$AQ$14,34,FALSE)&gt;L$150,10,IF(VLOOKUP($B71,'Indicator Data (national)'!$B$5:$AQ$14,34,FALSE)&lt;L$149,0,(L$150-VLOOKUP($B71,'Indicator Data (national)'!$B$5:$AQ$14,34,FALSE))/(L$150-L$149)*10)))</f>
        <v>2.8235954477835907</v>
      </c>
      <c r="M71" s="3">
        <f t="shared" si="25"/>
        <v>2.5117977238917955</v>
      </c>
      <c r="N71" s="2">
        <f>IF(VLOOKUP($B71,'Indicator Data (national)'!$B$5:$AS$14,44,FALSE)="No data","x",IF(VLOOKUP($B71,'Indicator Data (national)'!$B$5:$AS$14,44,FALSE)&gt;N$150,10,IF(VLOOKUP($B71,'Indicator Data (national)'!$B$5:$AS$14,44,FALSE)&lt;N$149,0,10-(N$150-VLOOKUP($B71,'Indicator Data (national)'!$B$5:$AS$14,44,FALSE))/(N$150-N$149)*10)))</f>
        <v>3.9000000000000004</v>
      </c>
      <c r="O71" s="2">
        <f>IF(VLOOKUP($B71,'Indicator Data (national)'!$B$5:$AS$14,42,FALSE)="No data","x",IF(VLOOKUP($B71,'Indicator Data (national)'!$B$5:$AS$14,42,FALSE)&gt;O$150,0,IF(VLOOKUP($B71,'Indicator Data (national)'!$B$5:$AS$14,42,FALSE)&lt;O$149,10,(O$150-VLOOKUP($B71,'Indicator Data (national)'!$B$5:$AS$14,42,FALSE))/(O$150-O$149)*10)))</f>
        <v>9.3507578421680311</v>
      </c>
      <c r="P71" s="158">
        <f t="shared" si="26"/>
        <v>6.6253789210840157</v>
      </c>
      <c r="Q71" s="2">
        <f>IF(VLOOKUP($B71,'Indicator Data (national)'!$B$5:$Q$14,16,FALSE)="No data","x",IF(VLOOKUP($B71,'Indicator Data (national)'!$B$5:$Q$14,16,FALSE)&gt;Q$150,0,IF(VLOOKUP($B71,'Indicator Data (national)'!$B$5:$Q$14,16,FALSE)&lt;Q$149,10,(Q$150-VLOOKUP($B71,'Indicator Data (national)'!$B$5:$Q$14,16,FALSE))/(Q$150-Q$149)*10)))</f>
        <v>8.1999999999999993</v>
      </c>
      <c r="R71" s="158">
        <f t="shared" si="27"/>
        <v>8.1999999999999993</v>
      </c>
      <c r="S71" s="3">
        <f t="shared" si="18"/>
        <v>7.4126894605420075</v>
      </c>
      <c r="T71" s="2">
        <f>IF(VLOOKUP($B71,'Indicator Data (national)'!$B$5:$BC$14,43,FALSE)="No data","x",IF(VLOOKUP($B71,'Indicator Data (national)'!$B$5:$BC$14,43,FALSE)&gt;T$150,10,IF(VLOOKUP($B71,'Indicator Data (national)'!$B$5:$BC$14,43,FALSE)&lt;T$149,0,(T$150-VLOOKUP($B71,'Indicator Data (national)'!$B$5:$BC$14,43,FALSE))/(T$150-T$149)*10)))</f>
        <v>9.8647237723687979</v>
      </c>
      <c r="U71" s="3">
        <f t="shared" si="28"/>
        <v>9.8647237723687979</v>
      </c>
      <c r="V71" s="5">
        <f t="shared" si="19"/>
        <v>6.5964036522675329</v>
      </c>
      <c r="W71" s="2">
        <f>IF(VLOOKUP($B71,'Indicator Data (national)'!$B$5:$AS$14,37,FALSE)="No data","x",IF(VLOOKUP($B71,'Indicator Data (national)'!$B$5:$AS$14,37,FALSE)&gt;W$150,10,IF(VLOOKUP($B71,'Indicator Data (national)'!$B$5:$AS$14,37,FALSE)&lt;W$149,0,(LOG(W$150)-LOG(VLOOKUP($B71,'Indicator Data (national)'!$B$5:$AS$14,37,FALSE)))/(LOG(W$150)-LOG(W$149))*10)))</f>
        <v>7.6457347942026841</v>
      </c>
      <c r="X71" s="2">
        <f>IF(VLOOKUP($B71,'Indicator Data (national)'!$B$5:$BB$14,45,FALSE)="No data","x",IF(VLOOKUP($B71,'Indicator Data (national)'!$B$5:$BB$14,45,FALSE)&gt;X$150,10,IF(VLOOKUP($B71,'Indicator Data (national)'!$B$5:$BB$14,45,FALSE)&lt;X$149,0,10-(X$150-VLOOKUP($B71,'Indicator Data (national)'!$B$5:$BB$14,45,FALSE))/(X$150-X$149)*10)))</f>
        <v>6.2222222222222223</v>
      </c>
      <c r="Y71" s="2">
        <f>IF(VLOOKUP($B71,'Indicator Data (national)'!$B$5:$BB$14,46,FALSE)="No data","x",IF(VLOOKUP($B71,'Indicator Data (national)'!$B$5:$BB$14,46,FALSE)&gt;Y$150,10,IF(VLOOKUP($B71,'Indicator Data (national)'!$B$5:$BB$14,46,FALSE)&lt;Y$149,0,(Y$150-VLOOKUP($B71,'Indicator Data (national)'!$B$5:$BB$14,46,FALSE))/(Y$150-Y$149)*10)))</f>
        <v>8</v>
      </c>
      <c r="Z71" s="156">
        <f>IF(VLOOKUP($B71,'Indicator Data (national)'!$B$5:$BB$14,48,FALSE)="No data","x",VLOOKUP($B71,'Indicator Data (national)'!$B$5:$BB$14,47,FALSE)*VLOOKUP($B71,'Indicator Data (national)'!$B$5:$BB$14,48,FALSE))</f>
        <v>9.814910769612494</v>
      </c>
      <c r="AA71" s="2">
        <f t="shared" si="29"/>
        <v>9.0185089230387501</v>
      </c>
      <c r="AB71" s="3">
        <f t="shared" si="30"/>
        <v>7.7216164848659146</v>
      </c>
      <c r="AC71" s="2">
        <f>IF(VLOOKUP($B71,'Indicator Data (national)'!$B$5:$BB$14,49,FALSE)="No data","x",IF(VLOOKUP($B71,'Indicator Data (national)'!$B$5:$BB$14,49,FALSE)&gt;AC$150,0,IF(VLOOKUP($B71,'Indicator Data (national)'!$B$5:$BB$14,49,FALSE)&lt;AC$149,10,(AC$150-VLOOKUP($B71,'Indicator Data (national)'!$B$5:$BB$14,49,FALSE))/(AC$150-AC$149)*10)))</f>
        <v>8.6440000000000001</v>
      </c>
      <c r="AD71" s="2">
        <f>IF(VLOOKUP($B71,'Indicator Data (national)'!$B$5:$BB$14,50,FALSE)="No data","x",IF(VLOOKUP($B71,'Indicator Data (national)'!$B$5:$BB$14,50,FALSE)&gt;AD$150,0,IF(VLOOKUP($B71,'Indicator Data (national)'!$B$5:$BB$14,50,FALSE)&lt;AD$149,10,(AD$150-VLOOKUP($B71,'Indicator Data (national)'!$B$5:$BB$14,50,FALSE))/(AD$150-AD$149)*10)))</f>
        <v>8.6471999999999998</v>
      </c>
      <c r="AE71" s="3">
        <f t="shared" si="31"/>
        <v>8.6456</v>
      </c>
      <c r="AF71" s="2">
        <f>IF(VLOOKUP($B71,'Indicator Data (national)'!$B$5:$BB$14,51,FALSE)="No data","x",IF(VLOOKUP($B71,'Indicator Data (national)'!$B$5:$BB$14,51,FALSE)&gt;AF$150,0,IF(VLOOKUP($B71,'Indicator Data (national)'!$B$5:$BB$14,51,FALSE)&lt;AF$149,10,(AF$150-VLOOKUP($B71,'Indicator Data (national)'!$B$5:$BB$14,51,FALSE))/(AF$150-AF$149)*10)))</f>
        <v>0</v>
      </c>
      <c r="AG71" s="2">
        <f>IF(VLOOKUP($B71,'Indicator Data (national)'!$B$5:$BB$14,52,FALSE)="No data","x",IF(VLOOKUP($B71,'Indicator Data (national)'!$B$5:$BB$14,52,FALSE)&gt;AG$150,0,IF(VLOOKUP($B71,'Indicator Data (national)'!$B$5:$BB$14,52,FALSE)&lt;AG$149,10,(AG$150-VLOOKUP($B71,'Indicator Data (national)'!$B$5:$BB$14,52,FALSE))/(AG$150-AG$149)*10)))</f>
        <v>0</v>
      </c>
      <c r="AH71" s="2">
        <f>IF(VLOOKUP($B71,'Indicator Data (national)'!$B$5:$BB$14,53,FALSE)="No data","x",IF(VLOOKUP($B71,'Indicator Data (national)'!$B$5:$BB$14,53,FALSE)&gt;AH$150,0,IF(VLOOKUP($B71,'Indicator Data (national)'!$B$5:$BB$14,53,FALSE)&lt;AH$149,10,(AH$150-VLOOKUP($B71,'Indicator Data (national)'!$B$5:$BB$14,53,FALSE))/(AH$150-AH$149)*10)))</f>
        <v>5.1780682960214941</v>
      </c>
      <c r="AI71" s="3">
        <f t="shared" si="32"/>
        <v>1.726022765340498</v>
      </c>
      <c r="AJ71" s="5">
        <f t="shared" si="20"/>
        <v>6.0310797500688045</v>
      </c>
    </row>
    <row r="72" spans="1:36" s="11" customFormat="1" x14ac:dyDescent="0.25">
      <c r="A72" s="16" t="s">
        <v>439</v>
      </c>
      <c r="B72" s="11" t="s">
        <v>576</v>
      </c>
      <c r="C72" s="126" t="s">
        <v>664</v>
      </c>
      <c r="D72" s="120">
        <f>(VLOOKUP($B72,'Indicator Data (national)'!$B$5:$AP$14,39,FALSE)+VLOOKUP($B72,'Indicator Data (national)'!$B$5:$AP$14,40,FALSE)+VLOOKUP($B72,'Indicator Data (national)'!$B$5:$AP$14,41,FALSE))/VLOOKUP($B72,'Indicator Data (national)'!$B$5:$AP$14,38,FALSE)*1000000</f>
        <v>0.3850863279901553</v>
      </c>
      <c r="E72" s="2">
        <f t="shared" si="21"/>
        <v>8.0745683600492235</v>
      </c>
      <c r="F72" s="3">
        <f t="shared" si="22"/>
        <v>8.0745683600492235</v>
      </c>
      <c r="G72" s="2">
        <f>IF(VLOOKUP($B72,'Indicator Data (national)'!$B$5:$AQ$14,30,FALSE)="No data","x",IF(VLOOKUP($B72,'Indicator Data (national)'!$B$5:$AQ$14,30,FALSE)&gt;G$150,10,IF(VLOOKUP($B72,'Indicator Data (national)'!$B$5:$AQ$14,30,FALSE)&lt;G$149,0,(G$150-VLOOKUP($B72,'Indicator Data (national)'!$B$5:$AQ$14,30,FALSE))/(G$150-G$149)*10)))</f>
        <v>7.5</v>
      </c>
      <c r="H72" s="2">
        <f>IF(VLOOKUP($B72,'Indicator Data (national)'!$B$5:$AQ$14,29,FALSE)="No data","x",IF(VLOOKUP($B72,'Indicator Data (national)'!$B$5:$AQ$14,29,FALSE)&gt;H$150,10,IF(VLOOKUP($B72,'Indicator Data (national)'!$B$5:$AQ$14,29,FALSE)&lt;H$149,0,(H$150-VLOOKUP($B72,'Indicator Data (national)'!$B$5:$AQ$14,29,FALSE))/(H$150-H$149)*10)))</f>
        <v>5.9728583693504333</v>
      </c>
      <c r="I72" s="3">
        <f t="shared" si="23"/>
        <v>6.7364291846752167</v>
      </c>
      <c r="J72" s="5">
        <f t="shared" si="24"/>
        <v>7.4054987723622201</v>
      </c>
      <c r="K72" s="2">
        <f>IF(VLOOKUP($B72,'Indicator Data (national)'!$B$5:$AQ$14,33,FALSE)="No data","x",IF(VLOOKUP($B72,'Indicator Data (national)'!$B$5:$AQ$14,33,FALSE)&gt;K$150,10,IF(VLOOKUP($B72,'Indicator Data (national)'!$B$5:$AQ$14,33,FALSE)&lt;K$149,0,(K$150-VLOOKUP($B72,'Indicator Data (national)'!$B$5:$AQ$14,33,FALSE))/(K$150-K$149)*10)))</f>
        <v>2.2000000000000002</v>
      </c>
      <c r="L72" s="2">
        <f>IF(VLOOKUP($B72,'Indicator Data (national)'!$B$5:$AQ$14,34,FALSE)="No data","x",IF(VLOOKUP($B72,'Indicator Data (national)'!$B$5:$AQ$14,34,FALSE)&gt;L$150,10,IF(VLOOKUP($B72,'Indicator Data (national)'!$B$5:$AQ$14,34,FALSE)&lt;L$149,0,(L$150-VLOOKUP($B72,'Indicator Data (national)'!$B$5:$AQ$14,34,FALSE))/(L$150-L$149)*10)))</f>
        <v>2.8235954477835907</v>
      </c>
      <c r="M72" s="3">
        <f t="shared" si="25"/>
        <v>2.5117977238917955</v>
      </c>
      <c r="N72" s="2">
        <f>IF(VLOOKUP($B72,'Indicator Data (national)'!$B$5:$AS$14,44,FALSE)="No data","x",IF(VLOOKUP($B72,'Indicator Data (national)'!$B$5:$AS$14,44,FALSE)&gt;N$150,10,IF(VLOOKUP($B72,'Indicator Data (national)'!$B$5:$AS$14,44,FALSE)&lt;N$149,0,10-(N$150-VLOOKUP($B72,'Indicator Data (national)'!$B$5:$AS$14,44,FALSE))/(N$150-N$149)*10)))</f>
        <v>3.9000000000000004</v>
      </c>
      <c r="O72" s="2">
        <f>IF(VLOOKUP($B72,'Indicator Data (national)'!$B$5:$AS$14,42,FALSE)="No data","x",IF(VLOOKUP($B72,'Indicator Data (national)'!$B$5:$AS$14,42,FALSE)&gt;O$150,0,IF(VLOOKUP($B72,'Indicator Data (national)'!$B$5:$AS$14,42,FALSE)&lt;O$149,10,(O$150-VLOOKUP($B72,'Indicator Data (national)'!$B$5:$AS$14,42,FALSE))/(O$150-O$149)*10)))</f>
        <v>9.3507578421680311</v>
      </c>
      <c r="P72" s="158">
        <f t="shared" si="26"/>
        <v>6.6253789210840157</v>
      </c>
      <c r="Q72" s="2">
        <f>IF(VLOOKUP($B72,'Indicator Data (national)'!$B$5:$Q$14,16,FALSE)="No data","x",IF(VLOOKUP($B72,'Indicator Data (national)'!$B$5:$Q$14,16,FALSE)&gt;Q$150,0,IF(VLOOKUP($B72,'Indicator Data (national)'!$B$5:$Q$14,16,FALSE)&lt;Q$149,10,(Q$150-VLOOKUP($B72,'Indicator Data (national)'!$B$5:$Q$14,16,FALSE))/(Q$150-Q$149)*10)))</f>
        <v>8.1999999999999993</v>
      </c>
      <c r="R72" s="158">
        <f t="shared" si="27"/>
        <v>8.1999999999999993</v>
      </c>
      <c r="S72" s="3">
        <f t="shared" si="18"/>
        <v>7.4126894605420075</v>
      </c>
      <c r="T72" s="2">
        <f>IF(VLOOKUP($B72,'Indicator Data (national)'!$B$5:$BC$14,43,FALSE)="No data","x",IF(VLOOKUP($B72,'Indicator Data (national)'!$B$5:$BC$14,43,FALSE)&gt;T$150,10,IF(VLOOKUP($B72,'Indicator Data (national)'!$B$5:$BC$14,43,FALSE)&lt;T$149,0,(T$150-VLOOKUP($B72,'Indicator Data (national)'!$B$5:$BC$14,43,FALSE))/(T$150-T$149)*10)))</f>
        <v>9.8647237723687979</v>
      </c>
      <c r="U72" s="3">
        <f t="shared" si="28"/>
        <v>9.8647237723687979</v>
      </c>
      <c r="V72" s="5">
        <f t="shared" si="19"/>
        <v>6.5964036522675329</v>
      </c>
      <c r="W72" s="2">
        <f>IF(VLOOKUP($B72,'Indicator Data (national)'!$B$5:$AS$14,37,FALSE)="No data","x",IF(VLOOKUP($B72,'Indicator Data (national)'!$B$5:$AS$14,37,FALSE)&gt;W$150,10,IF(VLOOKUP($B72,'Indicator Data (national)'!$B$5:$AS$14,37,FALSE)&lt;W$149,0,(LOG(W$150)-LOG(VLOOKUP($B72,'Indicator Data (national)'!$B$5:$AS$14,37,FALSE)))/(LOG(W$150)-LOG(W$149))*10)))</f>
        <v>7.6457347942026841</v>
      </c>
      <c r="X72" s="2">
        <f>IF(VLOOKUP($B72,'Indicator Data (national)'!$B$5:$BB$14,45,FALSE)="No data","x",IF(VLOOKUP($B72,'Indicator Data (national)'!$B$5:$BB$14,45,FALSE)&gt;X$150,10,IF(VLOOKUP($B72,'Indicator Data (national)'!$B$5:$BB$14,45,FALSE)&lt;X$149,0,10-(X$150-VLOOKUP($B72,'Indicator Data (national)'!$B$5:$BB$14,45,FALSE))/(X$150-X$149)*10)))</f>
        <v>6.2222222222222223</v>
      </c>
      <c r="Y72" s="2">
        <f>IF(VLOOKUP($B72,'Indicator Data (national)'!$B$5:$BB$14,46,FALSE)="No data","x",IF(VLOOKUP($B72,'Indicator Data (national)'!$B$5:$BB$14,46,FALSE)&gt;Y$150,10,IF(VLOOKUP($B72,'Indicator Data (national)'!$B$5:$BB$14,46,FALSE)&lt;Y$149,0,(Y$150-VLOOKUP($B72,'Indicator Data (national)'!$B$5:$BB$14,46,FALSE))/(Y$150-Y$149)*10)))</f>
        <v>8</v>
      </c>
      <c r="Z72" s="156">
        <f>IF(VLOOKUP($B72,'Indicator Data (national)'!$B$5:$BB$14,48,FALSE)="No data","x",VLOOKUP($B72,'Indicator Data (national)'!$B$5:$BB$14,47,FALSE)*VLOOKUP($B72,'Indicator Data (national)'!$B$5:$BB$14,48,FALSE))</f>
        <v>9.814910769612494</v>
      </c>
      <c r="AA72" s="2">
        <f t="shared" si="29"/>
        <v>9.0185089230387501</v>
      </c>
      <c r="AB72" s="3">
        <f t="shared" si="30"/>
        <v>7.7216164848659146</v>
      </c>
      <c r="AC72" s="2">
        <f>IF(VLOOKUP($B72,'Indicator Data (national)'!$B$5:$BB$14,49,FALSE)="No data","x",IF(VLOOKUP($B72,'Indicator Data (national)'!$B$5:$BB$14,49,FALSE)&gt;AC$150,0,IF(VLOOKUP($B72,'Indicator Data (national)'!$B$5:$BB$14,49,FALSE)&lt;AC$149,10,(AC$150-VLOOKUP($B72,'Indicator Data (national)'!$B$5:$BB$14,49,FALSE))/(AC$150-AC$149)*10)))</f>
        <v>8.6440000000000001</v>
      </c>
      <c r="AD72" s="2">
        <f>IF(VLOOKUP($B72,'Indicator Data (national)'!$B$5:$BB$14,50,FALSE)="No data","x",IF(VLOOKUP($B72,'Indicator Data (national)'!$B$5:$BB$14,50,FALSE)&gt;AD$150,0,IF(VLOOKUP($B72,'Indicator Data (national)'!$B$5:$BB$14,50,FALSE)&lt;AD$149,10,(AD$150-VLOOKUP($B72,'Indicator Data (national)'!$B$5:$BB$14,50,FALSE))/(AD$150-AD$149)*10)))</f>
        <v>8.6471999999999998</v>
      </c>
      <c r="AE72" s="3">
        <f t="shared" si="31"/>
        <v>8.6456</v>
      </c>
      <c r="AF72" s="2">
        <f>IF(VLOOKUP($B72,'Indicator Data (national)'!$B$5:$BB$14,51,FALSE)="No data","x",IF(VLOOKUP($B72,'Indicator Data (national)'!$B$5:$BB$14,51,FALSE)&gt;AF$150,0,IF(VLOOKUP($B72,'Indicator Data (national)'!$B$5:$BB$14,51,FALSE)&lt;AF$149,10,(AF$150-VLOOKUP($B72,'Indicator Data (national)'!$B$5:$BB$14,51,FALSE))/(AF$150-AF$149)*10)))</f>
        <v>0</v>
      </c>
      <c r="AG72" s="2">
        <f>IF(VLOOKUP($B72,'Indicator Data (national)'!$B$5:$BB$14,52,FALSE)="No data","x",IF(VLOOKUP($B72,'Indicator Data (national)'!$B$5:$BB$14,52,FALSE)&gt;AG$150,0,IF(VLOOKUP($B72,'Indicator Data (national)'!$B$5:$BB$14,52,FALSE)&lt;AG$149,10,(AG$150-VLOOKUP($B72,'Indicator Data (national)'!$B$5:$BB$14,52,FALSE))/(AG$150-AG$149)*10)))</f>
        <v>0</v>
      </c>
      <c r="AH72" s="2">
        <f>IF(VLOOKUP($B72,'Indicator Data (national)'!$B$5:$BB$14,53,FALSE)="No data","x",IF(VLOOKUP($B72,'Indicator Data (national)'!$B$5:$BB$14,53,FALSE)&gt;AH$150,0,IF(VLOOKUP($B72,'Indicator Data (national)'!$B$5:$BB$14,53,FALSE)&lt;AH$149,10,(AH$150-VLOOKUP($B72,'Indicator Data (national)'!$B$5:$BB$14,53,FALSE))/(AH$150-AH$149)*10)))</f>
        <v>5.1780682960214941</v>
      </c>
      <c r="AI72" s="3">
        <f t="shared" si="32"/>
        <v>1.726022765340498</v>
      </c>
      <c r="AJ72" s="5">
        <f t="shared" si="20"/>
        <v>6.0310797500688045</v>
      </c>
    </row>
    <row r="73" spans="1:36" s="11" customFormat="1" x14ac:dyDescent="0.25">
      <c r="A73" s="16" t="s">
        <v>440</v>
      </c>
      <c r="B73" s="11" t="s">
        <v>576</v>
      </c>
      <c r="C73" s="126" t="s">
        <v>665</v>
      </c>
      <c r="D73" s="120">
        <f>(VLOOKUP($B73,'Indicator Data (national)'!$B$5:$AP$14,39,FALSE)+VLOOKUP($B73,'Indicator Data (national)'!$B$5:$AP$14,40,FALSE)+VLOOKUP($B73,'Indicator Data (national)'!$B$5:$AP$14,41,FALSE))/VLOOKUP($B73,'Indicator Data (national)'!$B$5:$AP$14,38,FALSE)*1000000</f>
        <v>0.3850863279901553</v>
      </c>
      <c r="E73" s="2">
        <f t="shared" si="21"/>
        <v>8.0745683600492235</v>
      </c>
      <c r="F73" s="3">
        <f t="shared" si="22"/>
        <v>8.0745683600492235</v>
      </c>
      <c r="G73" s="2">
        <f>IF(VLOOKUP($B73,'Indicator Data (national)'!$B$5:$AQ$14,30,FALSE)="No data","x",IF(VLOOKUP($B73,'Indicator Data (national)'!$B$5:$AQ$14,30,FALSE)&gt;G$150,10,IF(VLOOKUP($B73,'Indicator Data (national)'!$B$5:$AQ$14,30,FALSE)&lt;G$149,0,(G$150-VLOOKUP($B73,'Indicator Data (national)'!$B$5:$AQ$14,30,FALSE))/(G$150-G$149)*10)))</f>
        <v>7.5</v>
      </c>
      <c r="H73" s="2">
        <f>IF(VLOOKUP($B73,'Indicator Data (national)'!$B$5:$AQ$14,29,FALSE)="No data","x",IF(VLOOKUP($B73,'Indicator Data (national)'!$B$5:$AQ$14,29,FALSE)&gt;H$150,10,IF(VLOOKUP($B73,'Indicator Data (national)'!$B$5:$AQ$14,29,FALSE)&lt;H$149,0,(H$150-VLOOKUP($B73,'Indicator Data (national)'!$B$5:$AQ$14,29,FALSE))/(H$150-H$149)*10)))</f>
        <v>5.9728583693504333</v>
      </c>
      <c r="I73" s="3">
        <f t="shared" si="23"/>
        <v>6.7364291846752167</v>
      </c>
      <c r="J73" s="5">
        <f t="shared" si="24"/>
        <v>7.4054987723622201</v>
      </c>
      <c r="K73" s="2">
        <f>IF(VLOOKUP($B73,'Indicator Data (national)'!$B$5:$AQ$14,33,FALSE)="No data","x",IF(VLOOKUP($B73,'Indicator Data (national)'!$B$5:$AQ$14,33,FALSE)&gt;K$150,10,IF(VLOOKUP($B73,'Indicator Data (national)'!$B$5:$AQ$14,33,FALSE)&lt;K$149,0,(K$150-VLOOKUP($B73,'Indicator Data (national)'!$B$5:$AQ$14,33,FALSE))/(K$150-K$149)*10)))</f>
        <v>2.2000000000000002</v>
      </c>
      <c r="L73" s="2">
        <f>IF(VLOOKUP($B73,'Indicator Data (national)'!$B$5:$AQ$14,34,FALSE)="No data","x",IF(VLOOKUP($B73,'Indicator Data (national)'!$B$5:$AQ$14,34,FALSE)&gt;L$150,10,IF(VLOOKUP($B73,'Indicator Data (national)'!$B$5:$AQ$14,34,FALSE)&lt;L$149,0,(L$150-VLOOKUP($B73,'Indicator Data (national)'!$B$5:$AQ$14,34,FALSE))/(L$150-L$149)*10)))</f>
        <v>2.8235954477835907</v>
      </c>
      <c r="M73" s="3">
        <f t="shared" si="25"/>
        <v>2.5117977238917955</v>
      </c>
      <c r="N73" s="2">
        <f>IF(VLOOKUP($B73,'Indicator Data (national)'!$B$5:$AS$14,44,FALSE)="No data","x",IF(VLOOKUP($B73,'Indicator Data (national)'!$B$5:$AS$14,44,FALSE)&gt;N$150,10,IF(VLOOKUP($B73,'Indicator Data (national)'!$B$5:$AS$14,44,FALSE)&lt;N$149,0,10-(N$150-VLOOKUP($B73,'Indicator Data (national)'!$B$5:$AS$14,44,FALSE))/(N$150-N$149)*10)))</f>
        <v>3.9000000000000004</v>
      </c>
      <c r="O73" s="2">
        <f>IF(VLOOKUP($B73,'Indicator Data (national)'!$B$5:$AS$14,42,FALSE)="No data","x",IF(VLOOKUP($B73,'Indicator Data (national)'!$B$5:$AS$14,42,FALSE)&gt;O$150,0,IF(VLOOKUP($B73,'Indicator Data (national)'!$B$5:$AS$14,42,FALSE)&lt;O$149,10,(O$150-VLOOKUP($B73,'Indicator Data (national)'!$B$5:$AS$14,42,FALSE))/(O$150-O$149)*10)))</f>
        <v>9.3507578421680311</v>
      </c>
      <c r="P73" s="158">
        <f t="shared" si="26"/>
        <v>6.6253789210840157</v>
      </c>
      <c r="Q73" s="2">
        <f>IF(VLOOKUP($B73,'Indicator Data (national)'!$B$5:$Q$14,16,FALSE)="No data","x",IF(VLOOKUP($B73,'Indicator Data (national)'!$B$5:$Q$14,16,FALSE)&gt;Q$150,0,IF(VLOOKUP($B73,'Indicator Data (national)'!$B$5:$Q$14,16,FALSE)&lt;Q$149,10,(Q$150-VLOOKUP($B73,'Indicator Data (national)'!$B$5:$Q$14,16,FALSE))/(Q$150-Q$149)*10)))</f>
        <v>8.1999999999999993</v>
      </c>
      <c r="R73" s="158">
        <f t="shared" si="27"/>
        <v>8.1999999999999993</v>
      </c>
      <c r="S73" s="3">
        <f t="shared" si="18"/>
        <v>7.4126894605420075</v>
      </c>
      <c r="T73" s="2">
        <f>IF(VLOOKUP($B73,'Indicator Data (national)'!$B$5:$BC$14,43,FALSE)="No data","x",IF(VLOOKUP($B73,'Indicator Data (national)'!$B$5:$BC$14,43,FALSE)&gt;T$150,10,IF(VLOOKUP($B73,'Indicator Data (national)'!$B$5:$BC$14,43,FALSE)&lt;T$149,0,(T$150-VLOOKUP($B73,'Indicator Data (national)'!$B$5:$BC$14,43,FALSE))/(T$150-T$149)*10)))</f>
        <v>9.8647237723687979</v>
      </c>
      <c r="U73" s="3">
        <f t="shared" si="28"/>
        <v>9.8647237723687979</v>
      </c>
      <c r="V73" s="5">
        <f t="shared" si="19"/>
        <v>6.5964036522675329</v>
      </c>
      <c r="W73" s="2">
        <f>IF(VLOOKUP($B73,'Indicator Data (national)'!$B$5:$AS$14,37,FALSE)="No data","x",IF(VLOOKUP($B73,'Indicator Data (national)'!$B$5:$AS$14,37,FALSE)&gt;W$150,10,IF(VLOOKUP($B73,'Indicator Data (national)'!$B$5:$AS$14,37,FALSE)&lt;W$149,0,(LOG(W$150)-LOG(VLOOKUP($B73,'Indicator Data (national)'!$B$5:$AS$14,37,FALSE)))/(LOG(W$150)-LOG(W$149))*10)))</f>
        <v>7.6457347942026841</v>
      </c>
      <c r="X73" s="2">
        <f>IF(VLOOKUP($B73,'Indicator Data (national)'!$B$5:$BB$14,45,FALSE)="No data","x",IF(VLOOKUP($B73,'Indicator Data (national)'!$B$5:$BB$14,45,FALSE)&gt;X$150,10,IF(VLOOKUP($B73,'Indicator Data (national)'!$B$5:$BB$14,45,FALSE)&lt;X$149,0,10-(X$150-VLOOKUP($B73,'Indicator Data (national)'!$B$5:$BB$14,45,FALSE))/(X$150-X$149)*10)))</f>
        <v>6.2222222222222223</v>
      </c>
      <c r="Y73" s="2">
        <f>IF(VLOOKUP($B73,'Indicator Data (national)'!$B$5:$BB$14,46,FALSE)="No data","x",IF(VLOOKUP($B73,'Indicator Data (national)'!$B$5:$BB$14,46,FALSE)&gt;Y$150,10,IF(VLOOKUP($B73,'Indicator Data (national)'!$B$5:$BB$14,46,FALSE)&lt;Y$149,0,(Y$150-VLOOKUP($B73,'Indicator Data (national)'!$B$5:$BB$14,46,FALSE))/(Y$150-Y$149)*10)))</f>
        <v>8</v>
      </c>
      <c r="Z73" s="156">
        <f>IF(VLOOKUP($B73,'Indicator Data (national)'!$B$5:$BB$14,48,FALSE)="No data","x",VLOOKUP($B73,'Indicator Data (national)'!$B$5:$BB$14,47,FALSE)*VLOOKUP($B73,'Indicator Data (national)'!$B$5:$BB$14,48,FALSE))</f>
        <v>9.814910769612494</v>
      </c>
      <c r="AA73" s="2">
        <f t="shared" si="29"/>
        <v>9.0185089230387501</v>
      </c>
      <c r="AB73" s="3">
        <f t="shared" si="30"/>
        <v>7.7216164848659146</v>
      </c>
      <c r="AC73" s="2">
        <f>IF(VLOOKUP($B73,'Indicator Data (national)'!$B$5:$BB$14,49,FALSE)="No data","x",IF(VLOOKUP($B73,'Indicator Data (national)'!$B$5:$BB$14,49,FALSE)&gt;AC$150,0,IF(VLOOKUP($B73,'Indicator Data (national)'!$B$5:$BB$14,49,FALSE)&lt;AC$149,10,(AC$150-VLOOKUP($B73,'Indicator Data (national)'!$B$5:$BB$14,49,FALSE))/(AC$150-AC$149)*10)))</f>
        <v>8.6440000000000001</v>
      </c>
      <c r="AD73" s="2">
        <f>IF(VLOOKUP($B73,'Indicator Data (national)'!$B$5:$BB$14,50,FALSE)="No data","x",IF(VLOOKUP($B73,'Indicator Data (national)'!$B$5:$BB$14,50,FALSE)&gt;AD$150,0,IF(VLOOKUP($B73,'Indicator Data (national)'!$B$5:$BB$14,50,FALSE)&lt;AD$149,10,(AD$150-VLOOKUP($B73,'Indicator Data (national)'!$B$5:$BB$14,50,FALSE))/(AD$150-AD$149)*10)))</f>
        <v>8.6471999999999998</v>
      </c>
      <c r="AE73" s="3">
        <f t="shared" si="31"/>
        <v>8.6456</v>
      </c>
      <c r="AF73" s="2">
        <f>IF(VLOOKUP($B73,'Indicator Data (national)'!$B$5:$BB$14,51,FALSE)="No data","x",IF(VLOOKUP($B73,'Indicator Data (national)'!$B$5:$BB$14,51,FALSE)&gt;AF$150,0,IF(VLOOKUP($B73,'Indicator Data (national)'!$B$5:$BB$14,51,FALSE)&lt;AF$149,10,(AF$150-VLOOKUP($B73,'Indicator Data (national)'!$B$5:$BB$14,51,FALSE))/(AF$150-AF$149)*10)))</f>
        <v>0</v>
      </c>
      <c r="AG73" s="2">
        <f>IF(VLOOKUP($B73,'Indicator Data (national)'!$B$5:$BB$14,52,FALSE)="No data","x",IF(VLOOKUP($B73,'Indicator Data (national)'!$B$5:$BB$14,52,FALSE)&gt;AG$150,0,IF(VLOOKUP($B73,'Indicator Data (national)'!$B$5:$BB$14,52,FALSE)&lt;AG$149,10,(AG$150-VLOOKUP($B73,'Indicator Data (national)'!$B$5:$BB$14,52,FALSE))/(AG$150-AG$149)*10)))</f>
        <v>0</v>
      </c>
      <c r="AH73" s="2">
        <f>IF(VLOOKUP($B73,'Indicator Data (national)'!$B$5:$BB$14,53,FALSE)="No data","x",IF(VLOOKUP($B73,'Indicator Data (national)'!$B$5:$BB$14,53,FALSE)&gt;AH$150,0,IF(VLOOKUP($B73,'Indicator Data (national)'!$B$5:$BB$14,53,FALSE)&lt;AH$149,10,(AH$150-VLOOKUP($B73,'Indicator Data (national)'!$B$5:$BB$14,53,FALSE))/(AH$150-AH$149)*10)))</f>
        <v>5.1780682960214941</v>
      </c>
      <c r="AI73" s="3">
        <f t="shared" si="32"/>
        <v>1.726022765340498</v>
      </c>
      <c r="AJ73" s="5">
        <f t="shared" si="20"/>
        <v>6.0310797500688045</v>
      </c>
    </row>
    <row r="74" spans="1:36" s="11" customFormat="1" x14ac:dyDescent="0.25">
      <c r="A74" s="16" t="s">
        <v>441</v>
      </c>
      <c r="B74" s="11" t="s">
        <v>576</v>
      </c>
      <c r="C74" s="126" t="s">
        <v>666</v>
      </c>
      <c r="D74" s="120">
        <f>(VLOOKUP($B74,'Indicator Data (national)'!$B$5:$AP$14,39,FALSE)+VLOOKUP($B74,'Indicator Data (national)'!$B$5:$AP$14,40,FALSE)+VLOOKUP($B74,'Indicator Data (national)'!$B$5:$AP$14,41,FALSE))/VLOOKUP($B74,'Indicator Data (national)'!$B$5:$AP$14,38,FALSE)*1000000</f>
        <v>0.3850863279901553</v>
      </c>
      <c r="E74" s="2">
        <f t="shared" si="21"/>
        <v>8.0745683600492235</v>
      </c>
      <c r="F74" s="3">
        <f t="shared" si="22"/>
        <v>8.0745683600492235</v>
      </c>
      <c r="G74" s="2">
        <f>IF(VLOOKUP($B74,'Indicator Data (national)'!$B$5:$AQ$14,30,FALSE)="No data","x",IF(VLOOKUP($B74,'Indicator Data (national)'!$B$5:$AQ$14,30,FALSE)&gt;G$150,10,IF(VLOOKUP($B74,'Indicator Data (national)'!$B$5:$AQ$14,30,FALSE)&lt;G$149,0,(G$150-VLOOKUP($B74,'Indicator Data (national)'!$B$5:$AQ$14,30,FALSE))/(G$150-G$149)*10)))</f>
        <v>7.5</v>
      </c>
      <c r="H74" s="2">
        <f>IF(VLOOKUP($B74,'Indicator Data (national)'!$B$5:$AQ$14,29,FALSE)="No data","x",IF(VLOOKUP($B74,'Indicator Data (national)'!$B$5:$AQ$14,29,FALSE)&gt;H$150,10,IF(VLOOKUP($B74,'Indicator Data (national)'!$B$5:$AQ$14,29,FALSE)&lt;H$149,0,(H$150-VLOOKUP($B74,'Indicator Data (national)'!$B$5:$AQ$14,29,FALSE))/(H$150-H$149)*10)))</f>
        <v>5.9728583693504333</v>
      </c>
      <c r="I74" s="3">
        <f t="shared" si="23"/>
        <v>6.7364291846752167</v>
      </c>
      <c r="J74" s="5">
        <f t="shared" si="24"/>
        <v>7.4054987723622201</v>
      </c>
      <c r="K74" s="2">
        <f>IF(VLOOKUP($B74,'Indicator Data (national)'!$B$5:$AQ$14,33,FALSE)="No data","x",IF(VLOOKUP($B74,'Indicator Data (national)'!$B$5:$AQ$14,33,FALSE)&gt;K$150,10,IF(VLOOKUP($B74,'Indicator Data (national)'!$B$5:$AQ$14,33,FALSE)&lt;K$149,0,(K$150-VLOOKUP($B74,'Indicator Data (national)'!$B$5:$AQ$14,33,FALSE))/(K$150-K$149)*10)))</f>
        <v>2.2000000000000002</v>
      </c>
      <c r="L74" s="2">
        <f>IF(VLOOKUP($B74,'Indicator Data (national)'!$B$5:$AQ$14,34,FALSE)="No data","x",IF(VLOOKUP($B74,'Indicator Data (national)'!$B$5:$AQ$14,34,FALSE)&gt;L$150,10,IF(VLOOKUP($B74,'Indicator Data (national)'!$B$5:$AQ$14,34,FALSE)&lt;L$149,0,(L$150-VLOOKUP($B74,'Indicator Data (national)'!$B$5:$AQ$14,34,FALSE))/(L$150-L$149)*10)))</f>
        <v>2.8235954477835907</v>
      </c>
      <c r="M74" s="3">
        <f t="shared" si="25"/>
        <v>2.5117977238917955</v>
      </c>
      <c r="N74" s="2">
        <f>IF(VLOOKUP($B74,'Indicator Data (national)'!$B$5:$AS$14,44,FALSE)="No data","x",IF(VLOOKUP($B74,'Indicator Data (national)'!$B$5:$AS$14,44,FALSE)&gt;N$150,10,IF(VLOOKUP($B74,'Indicator Data (national)'!$B$5:$AS$14,44,FALSE)&lt;N$149,0,10-(N$150-VLOOKUP($B74,'Indicator Data (national)'!$B$5:$AS$14,44,FALSE))/(N$150-N$149)*10)))</f>
        <v>3.9000000000000004</v>
      </c>
      <c r="O74" s="2">
        <f>IF(VLOOKUP($B74,'Indicator Data (national)'!$B$5:$AS$14,42,FALSE)="No data","x",IF(VLOOKUP($B74,'Indicator Data (national)'!$B$5:$AS$14,42,FALSE)&gt;O$150,0,IF(VLOOKUP($B74,'Indicator Data (national)'!$B$5:$AS$14,42,FALSE)&lt;O$149,10,(O$150-VLOOKUP($B74,'Indicator Data (national)'!$B$5:$AS$14,42,FALSE))/(O$150-O$149)*10)))</f>
        <v>9.3507578421680311</v>
      </c>
      <c r="P74" s="158">
        <f t="shared" si="26"/>
        <v>6.6253789210840157</v>
      </c>
      <c r="Q74" s="2">
        <f>IF(VLOOKUP($B74,'Indicator Data (national)'!$B$5:$Q$14,16,FALSE)="No data","x",IF(VLOOKUP($B74,'Indicator Data (national)'!$B$5:$Q$14,16,FALSE)&gt;Q$150,0,IF(VLOOKUP($B74,'Indicator Data (national)'!$B$5:$Q$14,16,FALSE)&lt;Q$149,10,(Q$150-VLOOKUP($B74,'Indicator Data (national)'!$B$5:$Q$14,16,FALSE))/(Q$150-Q$149)*10)))</f>
        <v>8.1999999999999993</v>
      </c>
      <c r="R74" s="158">
        <f t="shared" si="27"/>
        <v>8.1999999999999993</v>
      </c>
      <c r="S74" s="3">
        <f t="shared" si="18"/>
        <v>7.4126894605420075</v>
      </c>
      <c r="T74" s="2">
        <f>IF(VLOOKUP($B74,'Indicator Data (national)'!$B$5:$BC$14,43,FALSE)="No data","x",IF(VLOOKUP($B74,'Indicator Data (national)'!$B$5:$BC$14,43,FALSE)&gt;T$150,10,IF(VLOOKUP($B74,'Indicator Data (national)'!$B$5:$BC$14,43,FALSE)&lt;T$149,0,(T$150-VLOOKUP($B74,'Indicator Data (national)'!$B$5:$BC$14,43,FALSE))/(T$150-T$149)*10)))</f>
        <v>9.8647237723687979</v>
      </c>
      <c r="U74" s="3">
        <f t="shared" si="28"/>
        <v>9.8647237723687979</v>
      </c>
      <c r="V74" s="5">
        <f t="shared" si="19"/>
        <v>6.5964036522675329</v>
      </c>
      <c r="W74" s="2">
        <f>IF(VLOOKUP($B74,'Indicator Data (national)'!$B$5:$AS$14,37,FALSE)="No data","x",IF(VLOOKUP($B74,'Indicator Data (national)'!$B$5:$AS$14,37,FALSE)&gt;W$150,10,IF(VLOOKUP($B74,'Indicator Data (national)'!$B$5:$AS$14,37,FALSE)&lt;W$149,0,(LOG(W$150)-LOG(VLOOKUP($B74,'Indicator Data (national)'!$B$5:$AS$14,37,FALSE)))/(LOG(W$150)-LOG(W$149))*10)))</f>
        <v>7.6457347942026841</v>
      </c>
      <c r="X74" s="2">
        <f>IF(VLOOKUP($B74,'Indicator Data (national)'!$B$5:$BB$14,45,FALSE)="No data","x",IF(VLOOKUP($B74,'Indicator Data (national)'!$B$5:$BB$14,45,FALSE)&gt;X$150,10,IF(VLOOKUP($B74,'Indicator Data (national)'!$B$5:$BB$14,45,FALSE)&lt;X$149,0,10-(X$150-VLOOKUP($B74,'Indicator Data (national)'!$B$5:$BB$14,45,FALSE))/(X$150-X$149)*10)))</f>
        <v>6.2222222222222223</v>
      </c>
      <c r="Y74" s="2">
        <f>IF(VLOOKUP($B74,'Indicator Data (national)'!$B$5:$BB$14,46,FALSE)="No data","x",IF(VLOOKUP($B74,'Indicator Data (national)'!$B$5:$BB$14,46,FALSE)&gt;Y$150,10,IF(VLOOKUP($B74,'Indicator Data (national)'!$B$5:$BB$14,46,FALSE)&lt;Y$149,0,(Y$150-VLOOKUP($B74,'Indicator Data (national)'!$B$5:$BB$14,46,FALSE))/(Y$150-Y$149)*10)))</f>
        <v>8</v>
      </c>
      <c r="Z74" s="156">
        <f>IF(VLOOKUP($B74,'Indicator Data (national)'!$B$5:$BB$14,48,FALSE)="No data","x",VLOOKUP($B74,'Indicator Data (national)'!$B$5:$BB$14,47,FALSE)*VLOOKUP($B74,'Indicator Data (national)'!$B$5:$BB$14,48,FALSE))</f>
        <v>9.814910769612494</v>
      </c>
      <c r="AA74" s="2">
        <f t="shared" si="29"/>
        <v>9.0185089230387501</v>
      </c>
      <c r="AB74" s="3">
        <f t="shared" si="30"/>
        <v>7.7216164848659146</v>
      </c>
      <c r="AC74" s="2">
        <f>IF(VLOOKUP($B74,'Indicator Data (national)'!$B$5:$BB$14,49,FALSE)="No data","x",IF(VLOOKUP($B74,'Indicator Data (national)'!$B$5:$BB$14,49,FALSE)&gt;AC$150,0,IF(VLOOKUP($B74,'Indicator Data (national)'!$B$5:$BB$14,49,FALSE)&lt;AC$149,10,(AC$150-VLOOKUP($B74,'Indicator Data (national)'!$B$5:$BB$14,49,FALSE))/(AC$150-AC$149)*10)))</f>
        <v>8.6440000000000001</v>
      </c>
      <c r="AD74" s="2">
        <f>IF(VLOOKUP($B74,'Indicator Data (national)'!$B$5:$BB$14,50,FALSE)="No data","x",IF(VLOOKUP($B74,'Indicator Data (national)'!$B$5:$BB$14,50,FALSE)&gt;AD$150,0,IF(VLOOKUP($B74,'Indicator Data (national)'!$B$5:$BB$14,50,FALSE)&lt;AD$149,10,(AD$150-VLOOKUP($B74,'Indicator Data (national)'!$B$5:$BB$14,50,FALSE))/(AD$150-AD$149)*10)))</f>
        <v>8.6471999999999998</v>
      </c>
      <c r="AE74" s="3">
        <f t="shared" si="31"/>
        <v>8.6456</v>
      </c>
      <c r="AF74" s="2">
        <f>IF(VLOOKUP($B74,'Indicator Data (national)'!$B$5:$BB$14,51,FALSE)="No data","x",IF(VLOOKUP($B74,'Indicator Data (national)'!$B$5:$BB$14,51,FALSE)&gt;AF$150,0,IF(VLOOKUP($B74,'Indicator Data (national)'!$B$5:$BB$14,51,FALSE)&lt;AF$149,10,(AF$150-VLOOKUP($B74,'Indicator Data (national)'!$B$5:$BB$14,51,FALSE))/(AF$150-AF$149)*10)))</f>
        <v>0</v>
      </c>
      <c r="AG74" s="2">
        <f>IF(VLOOKUP($B74,'Indicator Data (national)'!$B$5:$BB$14,52,FALSE)="No data","x",IF(VLOOKUP($B74,'Indicator Data (national)'!$B$5:$BB$14,52,FALSE)&gt;AG$150,0,IF(VLOOKUP($B74,'Indicator Data (national)'!$B$5:$BB$14,52,FALSE)&lt;AG$149,10,(AG$150-VLOOKUP($B74,'Indicator Data (national)'!$B$5:$BB$14,52,FALSE))/(AG$150-AG$149)*10)))</f>
        <v>0</v>
      </c>
      <c r="AH74" s="2">
        <f>IF(VLOOKUP($B74,'Indicator Data (national)'!$B$5:$BB$14,53,FALSE)="No data","x",IF(VLOOKUP($B74,'Indicator Data (national)'!$B$5:$BB$14,53,FALSE)&gt;AH$150,0,IF(VLOOKUP($B74,'Indicator Data (national)'!$B$5:$BB$14,53,FALSE)&lt;AH$149,10,(AH$150-VLOOKUP($B74,'Indicator Data (national)'!$B$5:$BB$14,53,FALSE))/(AH$150-AH$149)*10)))</f>
        <v>5.1780682960214941</v>
      </c>
      <c r="AI74" s="3">
        <f t="shared" si="32"/>
        <v>1.726022765340498</v>
      </c>
      <c r="AJ74" s="5">
        <f t="shared" si="20"/>
        <v>6.0310797500688045</v>
      </c>
    </row>
    <row r="75" spans="1:36" s="11" customFormat="1" x14ac:dyDescent="0.25">
      <c r="A75" s="16" t="s">
        <v>442</v>
      </c>
      <c r="B75" s="11" t="s">
        <v>576</v>
      </c>
      <c r="C75" s="126" t="s">
        <v>667</v>
      </c>
      <c r="D75" s="120">
        <f>(VLOOKUP($B75,'Indicator Data (national)'!$B$5:$AP$14,39,FALSE)+VLOOKUP($B75,'Indicator Data (national)'!$B$5:$AP$14,40,FALSE)+VLOOKUP($B75,'Indicator Data (national)'!$B$5:$AP$14,41,FALSE))/VLOOKUP($B75,'Indicator Data (national)'!$B$5:$AP$14,38,FALSE)*1000000</f>
        <v>0.3850863279901553</v>
      </c>
      <c r="E75" s="2">
        <f t="shared" si="21"/>
        <v>8.0745683600492235</v>
      </c>
      <c r="F75" s="3">
        <f t="shared" si="22"/>
        <v>8.0745683600492235</v>
      </c>
      <c r="G75" s="2">
        <f>IF(VLOOKUP($B75,'Indicator Data (national)'!$B$5:$AQ$14,30,FALSE)="No data","x",IF(VLOOKUP($B75,'Indicator Data (national)'!$B$5:$AQ$14,30,FALSE)&gt;G$150,10,IF(VLOOKUP($B75,'Indicator Data (national)'!$B$5:$AQ$14,30,FALSE)&lt;G$149,0,(G$150-VLOOKUP($B75,'Indicator Data (national)'!$B$5:$AQ$14,30,FALSE))/(G$150-G$149)*10)))</f>
        <v>7.5</v>
      </c>
      <c r="H75" s="2">
        <f>IF(VLOOKUP($B75,'Indicator Data (national)'!$B$5:$AQ$14,29,FALSE)="No data","x",IF(VLOOKUP($B75,'Indicator Data (national)'!$B$5:$AQ$14,29,FALSE)&gt;H$150,10,IF(VLOOKUP($B75,'Indicator Data (national)'!$B$5:$AQ$14,29,FALSE)&lt;H$149,0,(H$150-VLOOKUP($B75,'Indicator Data (national)'!$B$5:$AQ$14,29,FALSE))/(H$150-H$149)*10)))</f>
        <v>5.9728583693504333</v>
      </c>
      <c r="I75" s="3">
        <f t="shared" si="23"/>
        <v>6.7364291846752167</v>
      </c>
      <c r="J75" s="5">
        <f t="shared" si="24"/>
        <v>7.4054987723622201</v>
      </c>
      <c r="K75" s="2">
        <f>IF(VLOOKUP($B75,'Indicator Data (national)'!$B$5:$AQ$14,33,FALSE)="No data","x",IF(VLOOKUP($B75,'Indicator Data (national)'!$B$5:$AQ$14,33,FALSE)&gt;K$150,10,IF(VLOOKUP($B75,'Indicator Data (national)'!$B$5:$AQ$14,33,FALSE)&lt;K$149,0,(K$150-VLOOKUP($B75,'Indicator Data (national)'!$B$5:$AQ$14,33,FALSE))/(K$150-K$149)*10)))</f>
        <v>2.2000000000000002</v>
      </c>
      <c r="L75" s="2">
        <f>IF(VLOOKUP($B75,'Indicator Data (national)'!$B$5:$AQ$14,34,FALSE)="No data","x",IF(VLOOKUP($B75,'Indicator Data (national)'!$B$5:$AQ$14,34,FALSE)&gt;L$150,10,IF(VLOOKUP($B75,'Indicator Data (national)'!$B$5:$AQ$14,34,FALSE)&lt;L$149,0,(L$150-VLOOKUP($B75,'Indicator Data (national)'!$B$5:$AQ$14,34,FALSE))/(L$150-L$149)*10)))</f>
        <v>2.8235954477835907</v>
      </c>
      <c r="M75" s="3">
        <f t="shared" si="25"/>
        <v>2.5117977238917955</v>
      </c>
      <c r="N75" s="2">
        <f>IF(VLOOKUP($B75,'Indicator Data (national)'!$B$5:$AS$14,44,FALSE)="No data","x",IF(VLOOKUP($B75,'Indicator Data (national)'!$B$5:$AS$14,44,FALSE)&gt;N$150,10,IF(VLOOKUP($B75,'Indicator Data (national)'!$B$5:$AS$14,44,FALSE)&lt;N$149,0,10-(N$150-VLOOKUP($B75,'Indicator Data (national)'!$B$5:$AS$14,44,FALSE))/(N$150-N$149)*10)))</f>
        <v>3.9000000000000004</v>
      </c>
      <c r="O75" s="2">
        <f>IF(VLOOKUP($B75,'Indicator Data (national)'!$B$5:$AS$14,42,FALSE)="No data","x",IF(VLOOKUP($B75,'Indicator Data (national)'!$B$5:$AS$14,42,FALSE)&gt;O$150,0,IF(VLOOKUP($B75,'Indicator Data (national)'!$B$5:$AS$14,42,FALSE)&lt;O$149,10,(O$150-VLOOKUP($B75,'Indicator Data (national)'!$B$5:$AS$14,42,FALSE))/(O$150-O$149)*10)))</f>
        <v>9.3507578421680311</v>
      </c>
      <c r="P75" s="158">
        <f t="shared" si="26"/>
        <v>6.6253789210840157</v>
      </c>
      <c r="Q75" s="2">
        <f>IF(VLOOKUP($B75,'Indicator Data (national)'!$B$5:$Q$14,16,FALSE)="No data","x",IF(VLOOKUP($B75,'Indicator Data (national)'!$B$5:$Q$14,16,FALSE)&gt;Q$150,0,IF(VLOOKUP($B75,'Indicator Data (national)'!$B$5:$Q$14,16,FALSE)&lt;Q$149,10,(Q$150-VLOOKUP($B75,'Indicator Data (national)'!$B$5:$Q$14,16,FALSE))/(Q$150-Q$149)*10)))</f>
        <v>8.1999999999999993</v>
      </c>
      <c r="R75" s="158">
        <f t="shared" si="27"/>
        <v>8.1999999999999993</v>
      </c>
      <c r="S75" s="3">
        <f t="shared" si="18"/>
        <v>7.4126894605420075</v>
      </c>
      <c r="T75" s="2">
        <f>IF(VLOOKUP($B75,'Indicator Data (national)'!$B$5:$BC$14,43,FALSE)="No data","x",IF(VLOOKUP($B75,'Indicator Data (national)'!$B$5:$BC$14,43,FALSE)&gt;T$150,10,IF(VLOOKUP($B75,'Indicator Data (national)'!$B$5:$BC$14,43,FALSE)&lt;T$149,0,(T$150-VLOOKUP($B75,'Indicator Data (national)'!$B$5:$BC$14,43,FALSE))/(T$150-T$149)*10)))</f>
        <v>9.8647237723687979</v>
      </c>
      <c r="U75" s="3">
        <f t="shared" si="28"/>
        <v>9.8647237723687979</v>
      </c>
      <c r="V75" s="5">
        <f t="shared" si="19"/>
        <v>6.5964036522675329</v>
      </c>
      <c r="W75" s="2">
        <f>IF(VLOOKUP($B75,'Indicator Data (national)'!$B$5:$AS$14,37,FALSE)="No data","x",IF(VLOOKUP($B75,'Indicator Data (national)'!$B$5:$AS$14,37,FALSE)&gt;W$150,10,IF(VLOOKUP($B75,'Indicator Data (national)'!$B$5:$AS$14,37,FALSE)&lt;W$149,0,(LOG(W$150)-LOG(VLOOKUP($B75,'Indicator Data (national)'!$B$5:$AS$14,37,FALSE)))/(LOG(W$150)-LOG(W$149))*10)))</f>
        <v>7.6457347942026841</v>
      </c>
      <c r="X75" s="2">
        <f>IF(VLOOKUP($B75,'Indicator Data (national)'!$B$5:$BB$14,45,FALSE)="No data","x",IF(VLOOKUP($B75,'Indicator Data (national)'!$B$5:$BB$14,45,FALSE)&gt;X$150,10,IF(VLOOKUP($B75,'Indicator Data (national)'!$B$5:$BB$14,45,FALSE)&lt;X$149,0,10-(X$150-VLOOKUP($B75,'Indicator Data (national)'!$B$5:$BB$14,45,FALSE))/(X$150-X$149)*10)))</f>
        <v>6.2222222222222223</v>
      </c>
      <c r="Y75" s="2">
        <f>IF(VLOOKUP($B75,'Indicator Data (national)'!$B$5:$BB$14,46,FALSE)="No data","x",IF(VLOOKUP($B75,'Indicator Data (national)'!$B$5:$BB$14,46,FALSE)&gt;Y$150,10,IF(VLOOKUP($B75,'Indicator Data (national)'!$B$5:$BB$14,46,FALSE)&lt;Y$149,0,(Y$150-VLOOKUP($B75,'Indicator Data (national)'!$B$5:$BB$14,46,FALSE))/(Y$150-Y$149)*10)))</f>
        <v>8</v>
      </c>
      <c r="Z75" s="156">
        <f>IF(VLOOKUP($B75,'Indicator Data (national)'!$B$5:$BB$14,48,FALSE)="No data","x",VLOOKUP($B75,'Indicator Data (national)'!$B$5:$BB$14,47,FALSE)*VLOOKUP($B75,'Indicator Data (national)'!$B$5:$BB$14,48,FALSE))</f>
        <v>9.814910769612494</v>
      </c>
      <c r="AA75" s="2">
        <f t="shared" si="29"/>
        <v>9.0185089230387501</v>
      </c>
      <c r="AB75" s="3">
        <f t="shared" si="30"/>
        <v>7.7216164848659146</v>
      </c>
      <c r="AC75" s="2">
        <f>IF(VLOOKUP($B75,'Indicator Data (national)'!$B$5:$BB$14,49,FALSE)="No data","x",IF(VLOOKUP($B75,'Indicator Data (national)'!$B$5:$BB$14,49,FALSE)&gt;AC$150,0,IF(VLOOKUP($B75,'Indicator Data (national)'!$B$5:$BB$14,49,FALSE)&lt;AC$149,10,(AC$150-VLOOKUP($B75,'Indicator Data (national)'!$B$5:$BB$14,49,FALSE))/(AC$150-AC$149)*10)))</f>
        <v>8.6440000000000001</v>
      </c>
      <c r="AD75" s="2">
        <f>IF(VLOOKUP($B75,'Indicator Data (national)'!$B$5:$BB$14,50,FALSE)="No data","x",IF(VLOOKUP($B75,'Indicator Data (national)'!$B$5:$BB$14,50,FALSE)&gt;AD$150,0,IF(VLOOKUP($B75,'Indicator Data (national)'!$B$5:$BB$14,50,FALSE)&lt;AD$149,10,(AD$150-VLOOKUP($B75,'Indicator Data (national)'!$B$5:$BB$14,50,FALSE))/(AD$150-AD$149)*10)))</f>
        <v>8.6471999999999998</v>
      </c>
      <c r="AE75" s="3">
        <f t="shared" si="31"/>
        <v>8.6456</v>
      </c>
      <c r="AF75" s="2">
        <f>IF(VLOOKUP($B75,'Indicator Data (national)'!$B$5:$BB$14,51,FALSE)="No data","x",IF(VLOOKUP($B75,'Indicator Data (national)'!$B$5:$BB$14,51,FALSE)&gt;AF$150,0,IF(VLOOKUP($B75,'Indicator Data (national)'!$B$5:$BB$14,51,FALSE)&lt;AF$149,10,(AF$150-VLOOKUP($B75,'Indicator Data (national)'!$B$5:$BB$14,51,FALSE))/(AF$150-AF$149)*10)))</f>
        <v>0</v>
      </c>
      <c r="AG75" s="2">
        <f>IF(VLOOKUP($B75,'Indicator Data (national)'!$B$5:$BB$14,52,FALSE)="No data","x",IF(VLOOKUP($B75,'Indicator Data (national)'!$B$5:$BB$14,52,FALSE)&gt;AG$150,0,IF(VLOOKUP($B75,'Indicator Data (national)'!$B$5:$BB$14,52,FALSE)&lt;AG$149,10,(AG$150-VLOOKUP($B75,'Indicator Data (national)'!$B$5:$BB$14,52,FALSE))/(AG$150-AG$149)*10)))</f>
        <v>0</v>
      </c>
      <c r="AH75" s="2">
        <f>IF(VLOOKUP($B75,'Indicator Data (national)'!$B$5:$BB$14,53,FALSE)="No data","x",IF(VLOOKUP($B75,'Indicator Data (national)'!$B$5:$BB$14,53,FALSE)&gt;AH$150,0,IF(VLOOKUP($B75,'Indicator Data (national)'!$B$5:$BB$14,53,FALSE)&lt;AH$149,10,(AH$150-VLOOKUP($B75,'Indicator Data (national)'!$B$5:$BB$14,53,FALSE))/(AH$150-AH$149)*10)))</f>
        <v>5.1780682960214941</v>
      </c>
      <c r="AI75" s="3">
        <f t="shared" si="32"/>
        <v>1.726022765340498</v>
      </c>
      <c r="AJ75" s="5">
        <f t="shared" si="20"/>
        <v>6.0310797500688045</v>
      </c>
    </row>
    <row r="76" spans="1:36" s="11" customFormat="1" x14ac:dyDescent="0.25">
      <c r="A76" s="16" t="s">
        <v>443</v>
      </c>
      <c r="B76" s="11" t="s">
        <v>576</v>
      </c>
      <c r="C76" s="126" t="s">
        <v>668</v>
      </c>
      <c r="D76" s="120">
        <f>(VLOOKUP($B76,'Indicator Data (national)'!$B$5:$AP$14,39,FALSE)+VLOOKUP($B76,'Indicator Data (national)'!$B$5:$AP$14,40,FALSE)+VLOOKUP($B76,'Indicator Data (national)'!$B$5:$AP$14,41,FALSE))/VLOOKUP($B76,'Indicator Data (national)'!$B$5:$AP$14,38,FALSE)*1000000</f>
        <v>0.3850863279901553</v>
      </c>
      <c r="E76" s="2">
        <f t="shared" si="21"/>
        <v>8.0745683600492235</v>
      </c>
      <c r="F76" s="3">
        <f t="shared" si="22"/>
        <v>8.0745683600492235</v>
      </c>
      <c r="G76" s="2">
        <f>IF(VLOOKUP($B76,'Indicator Data (national)'!$B$5:$AQ$14,30,FALSE)="No data","x",IF(VLOOKUP($B76,'Indicator Data (national)'!$B$5:$AQ$14,30,FALSE)&gt;G$150,10,IF(VLOOKUP($B76,'Indicator Data (national)'!$B$5:$AQ$14,30,FALSE)&lt;G$149,0,(G$150-VLOOKUP($B76,'Indicator Data (national)'!$B$5:$AQ$14,30,FALSE))/(G$150-G$149)*10)))</f>
        <v>7.5</v>
      </c>
      <c r="H76" s="2">
        <f>IF(VLOOKUP($B76,'Indicator Data (national)'!$B$5:$AQ$14,29,FALSE)="No data","x",IF(VLOOKUP($B76,'Indicator Data (national)'!$B$5:$AQ$14,29,FALSE)&gt;H$150,10,IF(VLOOKUP($B76,'Indicator Data (national)'!$B$5:$AQ$14,29,FALSE)&lt;H$149,0,(H$150-VLOOKUP($B76,'Indicator Data (national)'!$B$5:$AQ$14,29,FALSE))/(H$150-H$149)*10)))</f>
        <v>5.9728583693504333</v>
      </c>
      <c r="I76" s="3">
        <f t="shared" si="23"/>
        <v>6.7364291846752167</v>
      </c>
      <c r="J76" s="5">
        <f t="shared" si="24"/>
        <v>7.4054987723622201</v>
      </c>
      <c r="K76" s="2">
        <f>IF(VLOOKUP($B76,'Indicator Data (national)'!$B$5:$AQ$14,33,FALSE)="No data","x",IF(VLOOKUP($B76,'Indicator Data (national)'!$B$5:$AQ$14,33,FALSE)&gt;K$150,10,IF(VLOOKUP($B76,'Indicator Data (national)'!$B$5:$AQ$14,33,FALSE)&lt;K$149,0,(K$150-VLOOKUP($B76,'Indicator Data (national)'!$B$5:$AQ$14,33,FALSE))/(K$150-K$149)*10)))</f>
        <v>2.2000000000000002</v>
      </c>
      <c r="L76" s="2">
        <f>IF(VLOOKUP($B76,'Indicator Data (national)'!$B$5:$AQ$14,34,FALSE)="No data","x",IF(VLOOKUP($B76,'Indicator Data (national)'!$B$5:$AQ$14,34,FALSE)&gt;L$150,10,IF(VLOOKUP($B76,'Indicator Data (national)'!$B$5:$AQ$14,34,FALSE)&lt;L$149,0,(L$150-VLOOKUP($B76,'Indicator Data (national)'!$B$5:$AQ$14,34,FALSE))/(L$150-L$149)*10)))</f>
        <v>2.8235954477835907</v>
      </c>
      <c r="M76" s="3">
        <f t="shared" si="25"/>
        <v>2.5117977238917955</v>
      </c>
      <c r="N76" s="2">
        <f>IF(VLOOKUP($B76,'Indicator Data (national)'!$B$5:$AS$14,44,FALSE)="No data","x",IF(VLOOKUP($B76,'Indicator Data (national)'!$B$5:$AS$14,44,FALSE)&gt;N$150,10,IF(VLOOKUP($B76,'Indicator Data (national)'!$B$5:$AS$14,44,FALSE)&lt;N$149,0,10-(N$150-VLOOKUP($B76,'Indicator Data (national)'!$B$5:$AS$14,44,FALSE))/(N$150-N$149)*10)))</f>
        <v>3.9000000000000004</v>
      </c>
      <c r="O76" s="2">
        <f>IF(VLOOKUP($B76,'Indicator Data (national)'!$B$5:$AS$14,42,FALSE)="No data","x",IF(VLOOKUP($B76,'Indicator Data (national)'!$B$5:$AS$14,42,FALSE)&gt;O$150,0,IF(VLOOKUP($B76,'Indicator Data (national)'!$B$5:$AS$14,42,FALSE)&lt;O$149,10,(O$150-VLOOKUP($B76,'Indicator Data (national)'!$B$5:$AS$14,42,FALSE))/(O$150-O$149)*10)))</f>
        <v>9.3507578421680311</v>
      </c>
      <c r="P76" s="158">
        <f t="shared" si="26"/>
        <v>6.6253789210840157</v>
      </c>
      <c r="Q76" s="2">
        <f>IF(VLOOKUP($B76,'Indicator Data (national)'!$B$5:$Q$14,16,FALSE)="No data","x",IF(VLOOKUP($B76,'Indicator Data (national)'!$B$5:$Q$14,16,FALSE)&gt;Q$150,0,IF(VLOOKUP($B76,'Indicator Data (national)'!$B$5:$Q$14,16,FALSE)&lt;Q$149,10,(Q$150-VLOOKUP($B76,'Indicator Data (national)'!$B$5:$Q$14,16,FALSE))/(Q$150-Q$149)*10)))</f>
        <v>8.1999999999999993</v>
      </c>
      <c r="R76" s="158">
        <f t="shared" si="27"/>
        <v>8.1999999999999993</v>
      </c>
      <c r="S76" s="3">
        <f t="shared" si="18"/>
        <v>7.4126894605420075</v>
      </c>
      <c r="T76" s="2">
        <f>IF(VLOOKUP($B76,'Indicator Data (national)'!$B$5:$BC$14,43,FALSE)="No data","x",IF(VLOOKUP($B76,'Indicator Data (national)'!$B$5:$BC$14,43,FALSE)&gt;T$150,10,IF(VLOOKUP($B76,'Indicator Data (national)'!$B$5:$BC$14,43,FALSE)&lt;T$149,0,(T$150-VLOOKUP($B76,'Indicator Data (national)'!$B$5:$BC$14,43,FALSE))/(T$150-T$149)*10)))</f>
        <v>9.8647237723687979</v>
      </c>
      <c r="U76" s="3">
        <f t="shared" si="28"/>
        <v>9.8647237723687979</v>
      </c>
      <c r="V76" s="5">
        <f t="shared" si="19"/>
        <v>6.5964036522675329</v>
      </c>
      <c r="W76" s="2">
        <f>IF(VLOOKUP($B76,'Indicator Data (national)'!$B$5:$AS$14,37,FALSE)="No data","x",IF(VLOOKUP($B76,'Indicator Data (national)'!$B$5:$AS$14,37,FALSE)&gt;W$150,10,IF(VLOOKUP($B76,'Indicator Data (national)'!$B$5:$AS$14,37,FALSE)&lt;W$149,0,(LOG(W$150)-LOG(VLOOKUP($B76,'Indicator Data (national)'!$B$5:$AS$14,37,FALSE)))/(LOG(W$150)-LOG(W$149))*10)))</f>
        <v>7.6457347942026841</v>
      </c>
      <c r="X76" s="2">
        <f>IF(VLOOKUP($B76,'Indicator Data (national)'!$B$5:$BB$14,45,FALSE)="No data","x",IF(VLOOKUP($B76,'Indicator Data (national)'!$B$5:$BB$14,45,FALSE)&gt;X$150,10,IF(VLOOKUP($B76,'Indicator Data (national)'!$B$5:$BB$14,45,FALSE)&lt;X$149,0,10-(X$150-VLOOKUP($B76,'Indicator Data (national)'!$B$5:$BB$14,45,FALSE))/(X$150-X$149)*10)))</f>
        <v>6.2222222222222223</v>
      </c>
      <c r="Y76" s="2">
        <f>IF(VLOOKUP($B76,'Indicator Data (national)'!$B$5:$BB$14,46,FALSE)="No data","x",IF(VLOOKUP($B76,'Indicator Data (national)'!$B$5:$BB$14,46,FALSE)&gt;Y$150,10,IF(VLOOKUP($B76,'Indicator Data (national)'!$B$5:$BB$14,46,FALSE)&lt;Y$149,0,(Y$150-VLOOKUP($B76,'Indicator Data (national)'!$B$5:$BB$14,46,FALSE))/(Y$150-Y$149)*10)))</f>
        <v>8</v>
      </c>
      <c r="Z76" s="156">
        <f>IF(VLOOKUP($B76,'Indicator Data (national)'!$B$5:$BB$14,48,FALSE)="No data","x",VLOOKUP($B76,'Indicator Data (national)'!$B$5:$BB$14,47,FALSE)*VLOOKUP($B76,'Indicator Data (national)'!$B$5:$BB$14,48,FALSE))</f>
        <v>9.814910769612494</v>
      </c>
      <c r="AA76" s="2">
        <f t="shared" si="29"/>
        <v>9.0185089230387501</v>
      </c>
      <c r="AB76" s="3">
        <f t="shared" si="30"/>
        <v>7.7216164848659146</v>
      </c>
      <c r="AC76" s="2">
        <f>IF(VLOOKUP($B76,'Indicator Data (national)'!$B$5:$BB$14,49,FALSE)="No data","x",IF(VLOOKUP($B76,'Indicator Data (national)'!$B$5:$BB$14,49,FALSE)&gt;AC$150,0,IF(VLOOKUP($B76,'Indicator Data (national)'!$B$5:$BB$14,49,FALSE)&lt;AC$149,10,(AC$150-VLOOKUP($B76,'Indicator Data (national)'!$B$5:$BB$14,49,FALSE))/(AC$150-AC$149)*10)))</f>
        <v>8.6440000000000001</v>
      </c>
      <c r="AD76" s="2">
        <f>IF(VLOOKUP($B76,'Indicator Data (national)'!$B$5:$BB$14,50,FALSE)="No data","x",IF(VLOOKUP($B76,'Indicator Data (national)'!$B$5:$BB$14,50,FALSE)&gt;AD$150,0,IF(VLOOKUP($B76,'Indicator Data (national)'!$B$5:$BB$14,50,FALSE)&lt;AD$149,10,(AD$150-VLOOKUP($B76,'Indicator Data (national)'!$B$5:$BB$14,50,FALSE))/(AD$150-AD$149)*10)))</f>
        <v>8.6471999999999998</v>
      </c>
      <c r="AE76" s="3">
        <f t="shared" si="31"/>
        <v>8.6456</v>
      </c>
      <c r="AF76" s="2">
        <f>IF(VLOOKUP($B76,'Indicator Data (national)'!$B$5:$BB$14,51,FALSE)="No data","x",IF(VLOOKUP($B76,'Indicator Data (national)'!$B$5:$BB$14,51,FALSE)&gt;AF$150,0,IF(VLOOKUP($B76,'Indicator Data (national)'!$B$5:$BB$14,51,FALSE)&lt;AF$149,10,(AF$150-VLOOKUP($B76,'Indicator Data (national)'!$B$5:$BB$14,51,FALSE))/(AF$150-AF$149)*10)))</f>
        <v>0</v>
      </c>
      <c r="AG76" s="2">
        <f>IF(VLOOKUP($B76,'Indicator Data (national)'!$B$5:$BB$14,52,FALSE)="No data","x",IF(VLOOKUP($B76,'Indicator Data (national)'!$B$5:$BB$14,52,FALSE)&gt;AG$150,0,IF(VLOOKUP($B76,'Indicator Data (national)'!$B$5:$BB$14,52,FALSE)&lt;AG$149,10,(AG$150-VLOOKUP($B76,'Indicator Data (national)'!$B$5:$BB$14,52,FALSE))/(AG$150-AG$149)*10)))</f>
        <v>0</v>
      </c>
      <c r="AH76" s="2">
        <f>IF(VLOOKUP($B76,'Indicator Data (national)'!$B$5:$BB$14,53,FALSE)="No data","x",IF(VLOOKUP($B76,'Indicator Data (national)'!$B$5:$BB$14,53,FALSE)&gt;AH$150,0,IF(VLOOKUP($B76,'Indicator Data (national)'!$B$5:$BB$14,53,FALSE)&lt;AH$149,10,(AH$150-VLOOKUP($B76,'Indicator Data (national)'!$B$5:$BB$14,53,FALSE))/(AH$150-AH$149)*10)))</f>
        <v>5.1780682960214941</v>
      </c>
      <c r="AI76" s="3">
        <f t="shared" si="32"/>
        <v>1.726022765340498</v>
      </c>
      <c r="AJ76" s="5">
        <f t="shared" si="20"/>
        <v>6.0310797500688045</v>
      </c>
    </row>
    <row r="77" spans="1:36" s="11" customFormat="1" x14ac:dyDescent="0.25">
      <c r="A77" s="16" t="s">
        <v>444</v>
      </c>
      <c r="B77" s="11" t="s">
        <v>576</v>
      </c>
      <c r="C77" s="126" t="s">
        <v>669</v>
      </c>
      <c r="D77" s="120">
        <f>(VLOOKUP($B77,'Indicator Data (national)'!$B$5:$AP$14,39,FALSE)+VLOOKUP($B77,'Indicator Data (national)'!$B$5:$AP$14,40,FALSE)+VLOOKUP($B77,'Indicator Data (national)'!$B$5:$AP$14,41,FALSE))/VLOOKUP($B77,'Indicator Data (national)'!$B$5:$AP$14,38,FALSE)*1000000</f>
        <v>0.3850863279901553</v>
      </c>
      <c r="E77" s="2">
        <f t="shared" si="21"/>
        <v>8.0745683600492235</v>
      </c>
      <c r="F77" s="3">
        <f t="shared" si="22"/>
        <v>8.0745683600492235</v>
      </c>
      <c r="G77" s="2">
        <f>IF(VLOOKUP($B77,'Indicator Data (national)'!$B$5:$AQ$14,30,FALSE)="No data","x",IF(VLOOKUP($B77,'Indicator Data (national)'!$B$5:$AQ$14,30,FALSE)&gt;G$150,10,IF(VLOOKUP($B77,'Indicator Data (national)'!$B$5:$AQ$14,30,FALSE)&lt;G$149,0,(G$150-VLOOKUP($B77,'Indicator Data (national)'!$B$5:$AQ$14,30,FALSE))/(G$150-G$149)*10)))</f>
        <v>7.5</v>
      </c>
      <c r="H77" s="2">
        <f>IF(VLOOKUP($B77,'Indicator Data (national)'!$B$5:$AQ$14,29,FALSE)="No data","x",IF(VLOOKUP($B77,'Indicator Data (national)'!$B$5:$AQ$14,29,FALSE)&gt;H$150,10,IF(VLOOKUP($B77,'Indicator Data (national)'!$B$5:$AQ$14,29,FALSE)&lt;H$149,0,(H$150-VLOOKUP($B77,'Indicator Data (national)'!$B$5:$AQ$14,29,FALSE))/(H$150-H$149)*10)))</f>
        <v>5.9728583693504333</v>
      </c>
      <c r="I77" s="3">
        <f t="shared" si="23"/>
        <v>6.7364291846752167</v>
      </c>
      <c r="J77" s="5">
        <f t="shared" si="24"/>
        <v>7.4054987723622201</v>
      </c>
      <c r="K77" s="2">
        <f>IF(VLOOKUP($B77,'Indicator Data (national)'!$B$5:$AQ$14,33,FALSE)="No data","x",IF(VLOOKUP($B77,'Indicator Data (national)'!$B$5:$AQ$14,33,FALSE)&gt;K$150,10,IF(VLOOKUP($B77,'Indicator Data (national)'!$B$5:$AQ$14,33,FALSE)&lt;K$149,0,(K$150-VLOOKUP($B77,'Indicator Data (national)'!$B$5:$AQ$14,33,FALSE))/(K$150-K$149)*10)))</f>
        <v>2.2000000000000002</v>
      </c>
      <c r="L77" s="2">
        <f>IF(VLOOKUP($B77,'Indicator Data (national)'!$B$5:$AQ$14,34,FALSE)="No data","x",IF(VLOOKUP($B77,'Indicator Data (national)'!$B$5:$AQ$14,34,FALSE)&gt;L$150,10,IF(VLOOKUP($B77,'Indicator Data (national)'!$B$5:$AQ$14,34,FALSE)&lt;L$149,0,(L$150-VLOOKUP($B77,'Indicator Data (national)'!$B$5:$AQ$14,34,FALSE))/(L$150-L$149)*10)))</f>
        <v>2.8235954477835907</v>
      </c>
      <c r="M77" s="3">
        <f t="shared" si="25"/>
        <v>2.5117977238917955</v>
      </c>
      <c r="N77" s="2">
        <f>IF(VLOOKUP($B77,'Indicator Data (national)'!$B$5:$AS$14,44,FALSE)="No data","x",IF(VLOOKUP($B77,'Indicator Data (national)'!$B$5:$AS$14,44,FALSE)&gt;N$150,10,IF(VLOOKUP($B77,'Indicator Data (national)'!$B$5:$AS$14,44,FALSE)&lt;N$149,0,10-(N$150-VLOOKUP($B77,'Indicator Data (national)'!$B$5:$AS$14,44,FALSE))/(N$150-N$149)*10)))</f>
        <v>3.9000000000000004</v>
      </c>
      <c r="O77" s="2">
        <f>IF(VLOOKUP($B77,'Indicator Data (national)'!$B$5:$AS$14,42,FALSE)="No data","x",IF(VLOOKUP($B77,'Indicator Data (national)'!$B$5:$AS$14,42,FALSE)&gt;O$150,0,IF(VLOOKUP($B77,'Indicator Data (national)'!$B$5:$AS$14,42,FALSE)&lt;O$149,10,(O$150-VLOOKUP($B77,'Indicator Data (national)'!$B$5:$AS$14,42,FALSE))/(O$150-O$149)*10)))</f>
        <v>9.3507578421680311</v>
      </c>
      <c r="P77" s="158">
        <f t="shared" si="26"/>
        <v>6.6253789210840157</v>
      </c>
      <c r="Q77" s="2">
        <f>IF(VLOOKUP($B77,'Indicator Data (national)'!$B$5:$Q$14,16,FALSE)="No data","x",IF(VLOOKUP($B77,'Indicator Data (national)'!$B$5:$Q$14,16,FALSE)&gt;Q$150,0,IF(VLOOKUP($B77,'Indicator Data (national)'!$B$5:$Q$14,16,FALSE)&lt;Q$149,10,(Q$150-VLOOKUP($B77,'Indicator Data (national)'!$B$5:$Q$14,16,FALSE))/(Q$150-Q$149)*10)))</f>
        <v>8.1999999999999993</v>
      </c>
      <c r="R77" s="158">
        <f t="shared" si="27"/>
        <v>8.1999999999999993</v>
      </c>
      <c r="S77" s="3">
        <f t="shared" si="18"/>
        <v>7.4126894605420075</v>
      </c>
      <c r="T77" s="2">
        <f>IF(VLOOKUP($B77,'Indicator Data (national)'!$B$5:$BC$14,43,FALSE)="No data","x",IF(VLOOKUP($B77,'Indicator Data (national)'!$B$5:$BC$14,43,FALSE)&gt;T$150,10,IF(VLOOKUP($B77,'Indicator Data (national)'!$B$5:$BC$14,43,FALSE)&lt;T$149,0,(T$150-VLOOKUP($B77,'Indicator Data (national)'!$B$5:$BC$14,43,FALSE))/(T$150-T$149)*10)))</f>
        <v>9.8647237723687979</v>
      </c>
      <c r="U77" s="3">
        <f t="shared" si="28"/>
        <v>9.8647237723687979</v>
      </c>
      <c r="V77" s="5">
        <f t="shared" si="19"/>
        <v>6.5964036522675329</v>
      </c>
      <c r="W77" s="2">
        <f>IF(VLOOKUP($B77,'Indicator Data (national)'!$B$5:$AS$14,37,FALSE)="No data","x",IF(VLOOKUP($B77,'Indicator Data (national)'!$B$5:$AS$14,37,FALSE)&gt;W$150,10,IF(VLOOKUP($B77,'Indicator Data (national)'!$B$5:$AS$14,37,FALSE)&lt;W$149,0,(LOG(W$150)-LOG(VLOOKUP($B77,'Indicator Data (national)'!$B$5:$AS$14,37,FALSE)))/(LOG(W$150)-LOG(W$149))*10)))</f>
        <v>7.6457347942026841</v>
      </c>
      <c r="X77" s="2">
        <f>IF(VLOOKUP($B77,'Indicator Data (national)'!$B$5:$BB$14,45,FALSE)="No data","x",IF(VLOOKUP($B77,'Indicator Data (national)'!$B$5:$BB$14,45,FALSE)&gt;X$150,10,IF(VLOOKUP($B77,'Indicator Data (national)'!$B$5:$BB$14,45,FALSE)&lt;X$149,0,10-(X$150-VLOOKUP($B77,'Indicator Data (national)'!$B$5:$BB$14,45,FALSE))/(X$150-X$149)*10)))</f>
        <v>6.2222222222222223</v>
      </c>
      <c r="Y77" s="2">
        <f>IF(VLOOKUP($B77,'Indicator Data (national)'!$B$5:$BB$14,46,FALSE)="No data","x",IF(VLOOKUP($B77,'Indicator Data (national)'!$B$5:$BB$14,46,FALSE)&gt;Y$150,10,IF(VLOOKUP($B77,'Indicator Data (national)'!$B$5:$BB$14,46,FALSE)&lt;Y$149,0,(Y$150-VLOOKUP($B77,'Indicator Data (national)'!$B$5:$BB$14,46,FALSE))/(Y$150-Y$149)*10)))</f>
        <v>8</v>
      </c>
      <c r="Z77" s="156">
        <f>IF(VLOOKUP($B77,'Indicator Data (national)'!$B$5:$BB$14,48,FALSE)="No data","x",VLOOKUP($B77,'Indicator Data (national)'!$B$5:$BB$14,47,FALSE)*VLOOKUP($B77,'Indicator Data (national)'!$B$5:$BB$14,48,FALSE))</f>
        <v>9.814910769612494</v>
      </c>
      <c r="AA77" s="2">
        <f t="shared" si="29"/>
        <v>9.0185089230387501</v>
      </c>
      <c r="AB77" s="3">
        <f t="shared" si="30"/>
        <v>7.7216164848659146</v>
      </c>
      <c r="AC77" s="2">
        <f>IF(VLOOKUP($B77,'Indicator Data (national)'!$B$5:$BB$14,49,FALSE)="No data","x",IF(VLOOKUP($B77,'Indicator Data (national)'!$B$5:$BB$14,49,FALSE)&gt;AC$150,0,IF(VLOOKUP($B77,'Indicator Data (national)'!$B$5:$BB$14,49,FALSE)&lt;AC$149,10,(AC$150-VLOOKUP($B77,'Indicator Data (national)'!$B$5:$BB$14,49,FALSE))/(AC$150-AC$149)*10)))</f>
        <v>8.6440000000000001</v>
      </c>
      <c r="AD77" s="2">
        <f>IF(VLOOKUP($B77,'Indicator Data (national)'!$B$5:$BB$14,50,FALSE)="No data","x",IF(VLOOKUP($B77,'Indicator Data (national)'!$B$5:$BB$14,50,FALSE)&gt;AD$150,0,IF(VLOOKUP($B77,'Indicator Data (national)'!$B$5:$BB$14,50,FALSE)&lt;AD$149,10,(AD$150-VLOOKUP($B77,'Indicator Data (national)'!$B$5:$BB$14,50,FALSE))/(AD$150-AD$149)*10)))</f>
        <v>8.6471999999999998</v>
      </c>
      <c r="AE77" s="3">
        <f t="shared" si="31"/>
        <v>8.6456</v>
      </c>
      <c r="AF77" s="2">
        <f>IF(VLOOKUP($B77,'Indicator Data (national)'!$B$5:$BB$14,51,FALSE)="No data","x",IF(VLOOKUP($B77,'Indicator Data (national)'!$B$5:$BB$14,51,FALSE)&gt;AF$150,0,IF(VLOOKUP($B77,'Indicator Data (national)'!$B$5:$BB$14,51,FALSE)&lt;AF$149,10,(AF$150-VLOOKUP($B77,'Indicator Data (national)'!$B$5:$BB$14,51,FALSE))/(AF$150-AF$149)*10)))</f>
        <v>0</v>
      </c>
      <c r="AG77" s="2">
        <f>IF(VLOOKUP($B77,'Indicator Data (national)'!$B$5:$BB$14,52,FALSE)="No data","x",IF(VLOOKUP($B77,'Indicator Data (national)'!$B$5:$BB$14,52,FALSE)&gt;AG$150,0,IF(VLOOKUP($B77,'Indicator Data (national)'!$B$5:$BB$14,52,FALSE)&lt;AG$149,10,(AG$150-VLOOKUP($B77,'Indicator Data (national)'!$B$5:$BB$14,52,FALSE))/(AG$150-AG$149)*10)))</f>
        <v>0</v>
      </c>
      <c r="AH77" s="2">
        <f>IF(VLOOKUP($B77,'Indicator Data (national)'!$B$5:$BB$14,53,FALSE)="No data","x",IF(VLOOKUP($B77,'Indicator Data (national)'!$B$5:$BB$14,53,FALSE)&gt;AH$150,0,IF(VLOOKUP($B77,'Indicator Data (national)'!$B$5:$BB$14,53,FALSE)&lt;AH$149,10,(AH$150-VLOOKUP($B77,'Indicator Data (national)'!$B$5:$BB$14,53,FALSE))/(AH$150-AH$149)*10)))</f>
        <v>5.1780682960214941</v>
      </c>
      <c r="AI77" s="3">
        <f t="shared" si="32"/>
        <v>1.726022765340498</v>
      </c>
      <c r="AJ77" s="5">
        <f t="shared" si="20"/>
        <v>6.0310797500688045</v>
      </c>
    </row>
    <row r="78" spans="1:36" s="11" customFormat="1" x14ac:dyDescent="0.25">
      <c r="A78" s="16" t="s">
        <v>445</v>
      </c>
      <c r="B78" s="11" t="s">
        <v>576</v>
      </c>
      <c r="C78" s="126" t="s">
        <v>670</v>
      </c>
      <c r="D78" s="120">
        <f>(VLOOKUP($B78,'Indicator Data (national)'!$B$5:$AP$14,39,FALSE)+VLOOKUP($B78,'Indicator Data (national)'!$B$5:$AP$14,40,FALSE)+VLOOKUP($B78,'Indicator Data (national)'!$B$5:$AP$14,41,FALSE))/VLOOKUP($B78,'Indicator Data (national)'!$B$5:$AP$14,38,FALSE)*1000000</f>
        <v>0.3850863279901553</v>
      </c>
      <c r="E78" s="2">
        <f t="shared" si="21"/>
        <v>8.0745683600492235</v>
      </c>
      <c r="F78" s="3">
        <f t="shared" si="22"/>
        <v>8.0745683600492235</v>
      </c>
      <c r="G78" s="2">
        <f>IF(VLOOKUP($B78,'Indicator Data (national)'!$B$5:$AQ$14,30,FALSE)="No data","x",IF(VLOOKUP($B78,'Indicator Data (national)'!$B$5:$AQ$14,30,FALSE)&gt;G$150,10,IF(VLOOKUP($B78,'Indicator Data (national)'!$B$5:$AQ$14,30,FALSE)&lt;G$149,0,(G$150-VLOOKUP($B78,'Indicator Data (national)'!$B$5:$AQ$14,30,FALSE))/(G$150-G$149)*10)))</f>
        <v>7.5</v>
      </c>
      <c r="H78" s="2">
        <f>IF(VLOOKUP($B78,'Indicator Data (national)'!$B$5:$AQ$14,29,FALSE)="No data","x",IF(VLOOKUP($B78,'Indicator Data (national)'!$B$5:$AQ$14,29,FALSE)&gt;H$150,10,IF(VLOOKUP($B78,'Indicator Data (national)'!$B$5:$AQ$14,29,FALSE)&lt;H$149,0,(H$150-VLOOKUP($B78,'Indicator Data (national)'!$B$5:$AQ$14,29,FALSE))/(H$150-H$149)*10)))</f>
        <v>5.9728583693504333</v>
      </c>
      <c r="I78" s="3">
        <f t="shared" si="23"/>
        <v>6.7364291846752167</v>
      </c>
      <c r="J78" s="5">
        <f t="shared" si="24"/>
        <v>7.4054987723622201</v>
      </c>
      <c r="K78" s="2">
        <f>IF(VLOOKUP($B78,'Indicator Data (national)'!$B$5:$AQ$14,33,FALSE)="No data","x",IF(VLOOKUP($B78,'Indicator Data (national)'!$B$5:$AQ$14,33,FALSE)&gt;K$150,10,IF(VLOOKUP($B78,'Indicator Data (national)'!$B$5:$AQ$14,33,FALSE)&lt;K$149,0,(K$150-VLOOKUP($B78,'Indicator Data (national)'!$B$5:$AQ$14,33,FALSE))/(K$150-K$149)*10)))</f>
        <v>2.2000000000000002</v>
      </c>
      <c r="L78" s="2">
        <f>IF(VLOOKUP($B78,'Indicator Data (national)'!$B$5:$AQ$14,34,FALSE)="No data","x",IF(VLOOKUP($B78,'Indicator Data (national)'!$B$5:$AQ$14,34,FALSE)&gt;L$150,10,IF(VLOOKUP($B78,'Indicator Data (national)'!$B$5:$AQ$14,34,FALSE)&lt;L$149,0,(L$150-VLOOKUP($B78,'Indicator Data (national)'!$B$5:$AQ$14,34,FALSE))/(L$150-L$149)*10)))</f>
        <v>2.8235954477835907</v>
      </c>
      <c r="M78" s="3">
        <f t="shared" si="25"/>
        <v>2.5117977238917955</v>
      </c>
      <c r="N78" s="2">
        <f>IF(VLOOKUP($B78,'Indicator Data (national)'!$B$5:$AS$14,44,FALSE)="No data","x",IF(VLOOKUP($B78,'Indicator Data (national)'!$B$5:$AS$14,44,FALSE)&gt;N$150,10,IF(VLOOKUP($B78,'Indicator Data (national)'!$B$5:$AS$14,44,FALSE)&lt;N$149,0,10-(N$150-VLOOKUP($B78,'Indicator Data (national)'!$B$5:$AS$14,44,FALSE))/(N$150-N$149)*10)))</f>
        <v>3.9000000000000004</v>
      </c>
      <c r="O78" s="2">
        <f>IF(VLOOKUP($B78,'Indicator Data (national)'!$B$5:$AS$14,42,FALSE)="No data","x",IF(VLOOKUP($B78,'Indicator Data (national)'!$B$5:$AS$14,42,FALSE)&gt;O$150,0,IF(VLOOKUP($B78,'Indicator Data (national)'!$B$5:$AS$14,42,FALSE)&lt;O$149,10,(O$150-VLOOKUP($B78,'Indicator Data (national)'!$B$5:$AS$14,42,FALSE))/(O$150-O$149)*10)))</f>
        <v>9.3507578421680311</v>
      </c>
      <c r="P78" s="158">
        <f t="shared" si="26"/>
        <v>6.6253789210840157</v>
      </c>
      <c r="Q78" s="2">
        <f>IF(VLOOKUP($B78,'Indicator Data (national)'!$B$5:$Q$14,16,FALSE)="No data","x",IF(VLOOKUP($B78,'Indicator Data (national)'!$B$5:$Q$14,16,FALSE)&gt;Q$150,0,IF(VLOOKUP($B78,'Indicator Data (national)'!$B$5:$Q$14,16,FALSE)&lt;Q$149,10,(Q$150-VLOOKUP($B78,'Indicator Data (national)'!$B$5:$Q$14,16,FALSE))/(Q$150-Q$149)*10)))</f>
        <v>8.1999999999999993</v>
      </c>
      <c r="R78" s="158">
        <f t="shared" si="27"/>
        <v>8.1999999999999993</v>
      </c>
      <c r="S78" s="3">
        <f t="shared" si="18"/>
        <v>7.4126894605420075</v>
      </c>
      <c r="T78" s="2">
        <f>IF(VLOOKUP($B78,'Indicator Data (national)'!$B$5:$BC$14,43,FALSE)="No data","x",IF(VLOOKUP($B78,'Indicator Data (national)'!$B$5:$BC$14,43,FALSE)&gt;T$150,10,IF(VLOOKUP($B78,'Indicator Data (national)'!$B$5:$BC$14,43,FALSE)&lt;T$149,0,(T$150-VLOOKUP($B78,'Indicator Data (national)'!$B$5:$BC$14,43,FALSE))/(T$150-T$149)*10)))</f>
        <v>9.8647237723687979</v>
      </c>
      <c r="U78" s="3">
        <f t="shared" si="28"/>
        <v>9.8647237723687979</v>
      </c>
      <c r="V78" s="5">
        <f t="shared" si="19"/>
        <v>6.5964036522675329</v>
      </c>
      <c r="W78" s="2">
        <f>IF(VLOOKUP($B78,'Indicator Data (national)'!$B$5:$AS$14,37,FALSE)="No data","x",IF(VLOOKUP($B78,'Indicator Data (national)'!$B$5:$AS$14,37,FALSE)&gt;W$150,10,IF(VLOOKUP($B78,'Indicator Data (national)'!$B$5:$AS$14,37,FALSE)&lt;W$149,0,(LOG(W$150)-LOG(VLOOKUP($B78,'Indicator Data (national)'!$B$5:$AS$14,37,FALSE)))/(LOG(W$150)-LOG(W$149))*10)))</f>
        <v>7.6457347942026841</v>
      </c>
      <c r="X78" s="2">
        <f>IF(VLOOKUP($B78,'Indicator Data (national)'!$B$5:$BB$14,45,FALSE)="No data","x",IF(VLOOKUP($B78,'Indicator Data (national)'!$B$5:$BB$14,45,FALSE)&gt;X$150,10,IF(VLOOKUP($B78,'Indicator Data (national)'!$B$5:$BB$14,45,FALSE)&lt;X$149,0,10-(X$150-VLOOKUP($B78,'Indicator Data (national)'!$B$5:$BB$14,45,FALSE))/(X$150-X$149)*10)))</f>
        <v>6.2222222222222223</v>
      </c>
      <c r="Y78" s="2">
        <f>IF(VLOOKUP($B78,'Indicator Data (national)'!$B$5:$BB$14,46,FALSE)="No data","x",IF(VLOOKUP($B78,'Indicator Data (national)'!$B$5:$BB$14,46,FALSE)&gt;Y$150,10,IF(VLOOKUP($B78,'Indicator Data (national)'!$B$5:$BB$14,46,FALSE)&lt;Y$149,0,(Y$150-VLOOKUP($B78,'Indicator Data (national)'!$B$5:$BB$14,46,FALSE))/(Y$150-Y$149)*10)))</f>
        <v>8</v>
      </c>
      <c r="Z78" s="156">
        <f>IF(VLOOKUP($B78,'Indicator Data (national)'!$B$5:$BB$14,48,FALSE)="No data","x",VLOOKUP($B78,'Indicator Data (national)'!$B$5:$BB$14,47,FALSE)*VLOOKUP($B78,'Indicator Data (national)'!$B$5:$BB$14,48,FALSE))</f>
        <v>9.814910769612494</v>
      </c>
      <c r="AA78" s="2">
        <f t="shared" si="29"/>
        <v>9.0185089230387501</v>
      </c>
      <c r="AB78" s="3">
        <f t="shared" si="30"/>
        <v>7.7216164848659146</v>
      </c>
      <c r="AC78" s="2">
        <f>IF(VLOOKUP($B78,'Indicator Data (national)'!$B$5:$BB$14,49,FALSE)="No data","x",IF(VLOOKUP($B78,'Indicator Data (national)'!$B$5:$BB$14,49,FALSE)&gt;AC$150,0,IF(VLOOKUP($B78,'Indicator Data (national)'!$B$5:$BB$14,49,FALSE)&lt;AC$149,10,(AC$150-VLOOKUP($B78,'Indicator Data (national)'!$B$5:$BB$14,49,FALSE))/(AC$150-AC$149)*10)))</f>
        <v>8.6440000000000001</v>
      </c>
      <c r="AD78" s="2">
        <f>IF(VLOOKUP($B78,'Indicator Data (national)'!$B$5:$BB$14,50,FALSE)="No data","x",IF(VLOOKUP($B78,'Indicator Data (national)'!$B$5:$BB$14,50,FALSE)&gt;AD$150,0,IF(VLOOKUP($B78,'Indicator Data (national)'!$B$5:$BB$14,50,FALSE)&lt;AD$149,10,(AD$150-VLOOKUP($B78,'Indicator Data (national)'!$B$5:$BB$14,50,FALSE))/(AD$150-AD$149)*10)))</f>
        <v>8.6471999999999998</v>
      </c>
      <c r="AE78" s="3">
        <f t="shared" si="31"/>
        <v>8.6456</v>
      </c>
      <c r="AF78" s="2">
        <f>IF(VLOOKUP($B78,'Indicator Data (national)'!$B$5:$BB$14,51,FALSE)="No data","x",IF(VLOOKUP($B78,'Indicator Data (national)'!$B$5:$BB$14,51,FALSE)&gt;AF$150,0,IF(VLOOKUP($B78,'Indicator Data (national)'!$B$5:$BB$14,51,FALSE)&lt;AF$149,10,(AF$150-VLOOKUP($B78,'Indicator Data (national)'!$B$5:$BB$14,51,FALSE))/(AF$150-AF$149)*10)))</f>
        <v>0</v>
      </c>
      <c r="AG78" s="2">
        <f>IF(VLOOKUP($B78,'Indicator Data (national)'!$B$5:$BB$14,52,FALSE)="No data","x",IF(VLOOKUP($B78,'Indicator Data (national)'!$B$5:$BB$14,52,FALSE)&gt;AG$150,0,IF(VLOOKUP($B78,'Indicator Data (national)'!$B$5:$BB$14,52,FALSE)&lt;AG$149,10,(AG$150-VLOOKUP($B78,'Indicator Data (national)'!$B$5:$BB$14,52,FALSE))/(AG$150-AG$149)*10)))</f>
        <v>0</v>
      </c>
      <c r="AH78" s="2">
        <f>IF(VLOOKUP($B78,'Indicator Data (national)'!$B$5:$BB$14,53,FALSE)="No data","x",IF(VLOOKUP($B78,'Indicator Data (national)'!$B$5:$BB$14,53,FALSE)&gt;AH$150,0,IF(VLOOKUP($B78,'Indicator Data (national)'!$B$5:$BB$14,53,FALSE)&lt;AH$149,10,(AH$150-VLOOKUP($B78,'Indicator Data (national)'!$B$5:$BB$14,53,FALSE))/(AH$150-AH$149)*10)))</f>
        <v>5.1780682960214941</v>
      </c>
      <c r="AI78" s="3">
        <f t="shared" si="32"/>
        <v>1.726022765340498</v>
      </c>
      <c r="AJ78" s="5">
        <f t="shared" si="20"/>
        <v>6.0310797500688045</v>
      </c>
    </row>
    <row r="79" spans="1:36" s="11" customFormat="1" x14ac:dyDescent="0.25">
      <c r="A79" s="16" t="s">
        <v>446</v>
      </c>
      <c r="B79" s="11" t="s">
        <v>576</v>
      </c>
      <c r="C79" s="126" t="s">
        <v>671</v>
      </c>
      <c r="D79" s="120">
        <f>(VLOOKUP($B79,'Indicator Data (national)'!$B$5:$AP$14,39,FALSE)+VLOOKUP($B79,'Indicator Data (national)'!$B$5:$AP$14,40,FALSE)+VLOOKUP($B79,'Indicator Data (national)'!$B$5:$AP$14,41,FALSE))/VLOOKUP($B79,'Indicator Data (national)'!$B$5:$AP$14,38,FALSE)*1000000</f>
        <v>0.3850863279901553</v>
      </c>
      <c r="E79" s="2">
        <f t="shared" si="21"/>
        <v>8.0745683600492235</v>
      </c>
      <c r="F79" s="3">
        <f t="shared" si="22"/>
        <v>8.0745683600492235</v>
      </c>
      <c r="G79" s="2">
        <f>IF(VLOOKUP($B79,'Indicator Data (national)'!$B$5:$AQ$14,30,FALSE)="No data","x",IF(VLOOKUP($B79,'Indicator Data (national)'!$B$5:$AQ$14,30,FALSE)&gt;G$150,10,IF(VLOOKUP($B79,'Indicator Data (national)'!$B$5:$AQ$14,30,FALSE)&lt;G$149,0,(G$150-VLOOKUP($B79,'Indicator Data (national)'!$B$5:$AQ$14,30,FALSE))/(G$150-G$149)*10)))</f>
        <v>7.5</v>
      </c>
      <c r="H79" s="2">
        <f>IF(VLOOKUP($B79,'Indicator Data (national)'!$B$5:$AQ$14,29,FALSE)="No data","x",IF(VLOOKUP($B79,'Indicator Data (national)'!$B$5:$AQ$14,29,FALSE)&gt;H$150,10,IF(VLOOKUP($B79,'Indicator Data (national)'!$B$5:$AQ$14,29,FALSE)&lt;H$149,0,(H$150-VLOOKUP($B79,'Indicator Data (national)'!$B$5:$AQ$14,29,FALSE))/(H$150-H$149)*10)))</f>
        <v>5.9728583693504333</v>
      </c>
      <c r="I79" s="3">
        <f t="shared" si="23"/>
        <v>6.7364291846752167</v>
      </c>
      <c r="J79" s="5">
        <f t="shared" si="24"/>
        <v>7.4054987723622201</v>
      </c>
      <c r="K79" s="2">
        <f>IF(VLOOKUP($B79,'Indicator Data (national)'!$B$5:$AQ$14,33,FALSE)="No data","x",IF(VLOOKUP($B79,'Indicator Data (national)'!$B$5:$AQ$14,33,FALSE)&gt;K$150,10,IF(VLOOKUP($B79,'Indicator Data (national)'!$B$5:$AQ$14,33,FALSE)&lt;K$149,0,(K$150-VLOOKUP($B79,'Indicator Data (national)'!$B$5:$AQ$14,33,FALSE))/(K$150-K$149)*10)))</f>
        <v>2.2000000000000002</v>
      </c>
      <c r="L79" s="2">
        <f>IF(VLOOKUP($B79,'Indicator Data (national)'!$B$5:$AQ$14,34,FALSE)="No data","x",IF(VLOOKUP($B79,'Indicator Data (national)'!$B$5:$AQ$14,34,FALSE)&gt;L$150,10,IF(VLOOKUP($B79,'Indicator Data (national)'!$B$5:$AQ$14,34,FALSE)&lt;L$149,0,(L$150-VLOOKUP($B79,'Indicator Data (national)'!$B$5:$AQ$14,34,FALSE))/(L$150-L$149)*10)))</f>
        <v>2.8235954477835907</v>
      </c>
      <c r="M79" s="3">
        <f t="shared" si="25"/>
        <v>2.5117977238917955</v>
      </c>
      <c r="N79" s="2">
        <f>IF(VLOOKUP($B79,'Indicator Data (national)'!$B$5:$AS$14,44,FALSE)="No data","x",IF(VLOOKUP($B79,'Indicator Data (national)'!$B$5:$AS$14,44,FALSE)&gt;N$150,10,IF(VLOOKUP($B79,'Indicator Data (national)'!$B$5:$AS$14,44,FALSE)&lt;N$149,0,10-(N$150-VLOOKUP($B79,'Indicator Data (national)'!$B$5:$AS$14,44,FALSE))/(N$150-N$149)*10)))</f>
        <v>3.9000000000000004</v>
      </c>
      <c r="O79" s="2">
        <f>IF(VLOOKUP($B79,'Indicator Data (national)'!$B$5:$AS$14,42,FALSE)="No data","x",IF(VLOOKUP($B79,'Indicator Data (national)'!$B$5:$AS$14,42,FALSE)&gt;O$150,0,IF(VLOOKUP($B79,'Indicator Data (national)'!$B$5:$AS$14,42,FALSE)&lt;O$149,10,(O$150-VLOOKUP($B79,'Indicator Data (national)'!$B$5:$AS$14,42,FALSE))/(O$150-O$149)*10)))</f>
        <v>9.3507578421680311</v>
      </c>
      <c r="P79" s="158">
        <f t="shared" si="26"/>
        <v>6.6253789210840157</v>
      </c>
      <c r="Q79" s="2">
        <f>IF(VLOOKUP($B79,'Indicator Data (national)'!$B$5:$Q$14,16,FALSE)="No data","x",IF(VLOOKUP($B79,'Indicator Data (national)'!$B$5:$Q$14,16,FALSE)&gt;Q$150,0,IF(VLOOKUP($B79,'Indicator Data (national)'!$B$5:$Q$14,16,FALSE)&lt;Q$149,10,(Q$150-VLOOKUP($B79,'Indicator Data (national)'!$B$5:$Q$14,16,FALSE))/(Q$150-Q$149)*10)))</f>
        <v>8.1999999999999993</v>
      </c>
      <c r="R79" s="158">
        <f t="shared" si="27"/>
        <v>8.1999999999999993</v>
      </c>
      <c r="S79" s="3">
        <f t="shared" si="18"/>
        <v>7.4126894605420075</v>
      </c>
      <c r="T79" s="2">
        <f>IF(VLOOKUP($B79,'Indicator Data (national)'!$B$5:$BC$14,43,FALSE)="No data","x",IF(VLOOKUP($B79,'Indicator Data (national)'!$B$5:$BC$14,43,FALSE)&gt;T$150,10,IF(VLOOKUP($B79,'Indicator Data (national)'!$B$5:$BC$14,43,FALSE)&lt;T$149,0,(T$150-VLOOKUP($B79,'Indicator Data (national)'!$B$5:$BC$14,43,FALSE))/(T$150-T$149)*10)))</f>
        <v>9.8647237723687979</v>
      </c>
      <c r="U79" s="3">
        <f t="shared" si="28"/>
        <v>9.8647237723687979</v>
      </c>
      <c r="V79" s="5">
        <f t="shared" si="19"/>
        <v>6.5964036522675329</v>
      </c>
      <c r="W79" s="2">
        <f>IF(VLOOKUP($B79,'Indicator Data (national)'!$B$5:$AS$14,37,FALSE)="No data","x",IF(VLOOKUP($B79,'Indicator Data (national)'!$B$5:$AS$14,37,FALSE)&gt;W$150,10,IF(VLOOKUP($B79,'Indicator Data (national)'!$B$5:$AS$14,37,FALSE)&lt;W$149,0,(LOG(W$150)-LOG(VLOOKUP($B79,'Indicator Data (national)'!$B$5:$AS$14,37,FALSE)))/(LOG(W$150)-LOG(W$149))*10)))</f>
        <v>7.6457347942026841</v>
      </c>
      <c r="X79" s="2">
        <f>IF(VLOOKUP($B79,'Indicator Data (national)'!$B$5:$BB$14,45,FALSE)="No data","x",IF(VLOOKUP($B79,'Indicator Data (national)'!$B$5:$BB$14,45,FALSE)&gt;X$150,10,IF(VLOOKUP($B79,'Indicator Data (national)'!$B$5:$BB$14,45,FALSE)&lt;X$149,0,10-(X$150-VLOOKUP($B79,'Indicator Data (national)'!$B$5:$BB$14,45,FALSE))/(X$150-X$149)*10)))</f>
        <v>6.2222222222222223</v>
      </c>
      <c r="Y79" s="2">
        <f>IF(VLOOKUP($B79,'Indicator Data (national)'!$B$5:$BB$14,46,FALSE)="No data","x",IF(VLOOKUP($B79,'Indicator Data (national)'!$B$5:$BB$14,46,FALSE)&gt;Y$150,10,IF(VLOOKUP($B79,'Indicator Data (national)'!$B$5:$BB$14,46,FALSE)&lt;Y$149,0,(Y$150-VLOOKUP($B79,'Indicator Data (national)'!$B$5:$BB$14,46,FALSE))/(Y$150-Y$149)*10)))</f>
        <v>8</v>
      </c>
      <c r="Z79" s="156">
        <f>IF(VLOOKUP($B79,'Indicator Data (national)'!$B$5:$BB$14,48,FALSE)="No data","x",VLOOKUP($B79,'Indicator Data (national)'!$B$5:$BB$14,47,FALSE)*VLOOKUP($B79,'Indicator Data (national)'!$B$5:$BB$14,48,FALSE))</f>
        <v>9.814910769612494</v>
      </c>
      <c r="AA79" s="2">
        <f t="shared" si="29"/>
        <v>9.0185089230387501</v>
      </c>
      <c r="AB79" s="3">
        <f t="shared" si="30"/>
        <v>7.7216164848659146</v>
      </c>
      <c r="AC79" s="2">
        <f>IF(VLOOKUP($B79,'Indicator Data (national)'!$B$5:$BB$14,49,FALSE)="No data","x",IF(VLOOKUP($B79,'Indicator Data (national)'!$B$5:$BB$14,49,FALSE)&gt;AC$150,0,IF(VLOOKUP($B79,'Indicator Data (national)'!$B$5:$BB$14,49,FALSE)&lt;AC$149,10,(AC$150-VLOOKUP($B79,'Indicator Data (national)'!$B$5:$BB$14,49,FALSE))/(AC$150-AC$149)*10)))</f>
        <v>8.6440000000000001</v>
      </c>
      <c r="AD79" s="2">
        <f>IF(VLOOKUP($B79,'Indicator Data (national)'!$B$5:$BB$14,50,FALSE)="No data","x",IF(VLOOKUP($B79,'Indicator Data (national)'!$B$5:$BB$14,50,FALSE)&gt;AD$150,0,IF(VLOOKUP($B79,'Indicator Data (national)'!$B$5:$BB$14,50,FALSE)&lt;AD$149,10,(AD$150-VLOOKUP($B79,'Indicator Data (national)'!$B$5:$BB$14,50,FALSE))/(AD$150-AD$149)*10)))</f>
        <v>8.6471999999999998</v>
      </c>
      <c r="AE79" s="3">
        <f t="shared" si="31"/>
        <v>8.6456</v>
      </c>
      <c r="AF79" s="2">
        <f>IF(VLOOKUP($B79,'Indicator Data (national)'!$B$5:$BB$14,51,FALSE)="No data","x",IF(VLOOKUP($B79,'Indicator Data (national)'!$B$5:$BB$14,51,FALSE)&gt;AF$150,0,IF(VLOOKUP($B79,'Indicator Data (national)'!$B$5:$BB$14,51,FALSE)&lt;AF$149,10,(AF$150-VLOOKUP($B79,'Indicator Data (national)'!$B$5:$BB$14,51,FALSE))/(AF$150-AF$149)*10)))</f>
        <v>0</v>
      </c>
      <c r="AG79" s="2">
        <f>IF(VLOOKUP($B79,'Indicator Data (national)'!$B$5:$BB$14,52,FALSE)="No data","x",IF(VLOOKUP($B79,'Indicator Data (national)'!$B$5:$BB$14,52,FALSE)&gt;AG$150,0,IF(VLOOKUP($B79,'Indicator Data (national)'!$B$5:$BB$14,52,FALSE)&lt;AG$149,10,(AG$150-VLOOKUP($B79,'Indicator Data (national)'!$B$5:$BB$14,52,FALSE))/(AG$150-AG$149)*10)))</f>
        <v>0</v>
      </c>
      <c r="AH79" s="2">
        <f>IF(VLOOKUP($B79,'Indicator Data (national)'!$B$5:$BB$14,53,FALSE)="No data","x",IF(VLOOKUP($B79,'Indicator Data (national)'!$B$5:$BB$14,53,FALSE)&gt;AH$150,0,IF(VLOOKUP($B79,'Indicator Data (national)'!$B$5:$BB$14,53,FALSE)&lt;AH$149,10,(AH$150-VLOOKUP($B79,'Indicator Data (national)'!$B$5:$BB$14,53,FALSE))/(AH$150-AH$149)*10)))</f>
        <v>5.1780682960214941</v>
      </c>
      <c r="AI79" s="3">
        <f t="shared" si="32"/>
        <v>1.726022765340498</v>
      </c>
      <c r="AJ79" s="5">
        <f t="shared" si="20"/>
        <v>6.0310797500688045</v>
      </c>
    </row>
    <row r="80" spans="1:36" s="11" customFormat="1" x14ac:dyDescent="0.25">
      <c r="A80" s="16" t="s">
        <v>447</v>
      </c>
      <c r="B80" s="11" t="s">
        <v>576</v>
      </c>
      <c r="C80" s="126" t="s">
        <v>672</v>
      </c>
      <c r="D80" s="120">
        <f>(VLOOKUP($B80,'Indicator Data (national)'!$B$5:$AP$14,39,FALSE)+VLOOKUP($B80,'Indicator Data (national)'!$B$5:$AP$14,40,FALSE)+VLOOKUP($B80,'Indicator Data (national)'!$B$5:$AP$14,41,FALSE))/VLOOKUP($B80,'Indicator Data (national)'!$B$5:$AP$14,38,FALSE)*1000000</f>
        <v>0.3850863279901553</v>
      </c>
      <c r="E80" s="2">
        <f t="shared" si="21"/>
        <v>8.0745683600492235</v>
      </c>
      <c r="F80" s="3">
        <f t="shared" si="22"/>
        <v>8.0745683600492235</v>
      </c>
      <c r="G80" s="2">
        <f>IF(VLOOKUP($B80,'Indicator Data (national)'!$B$5:$AQ$14,30,FALSE)="No data","x",IF(VLOOKUP($B80,'Indicator Data (national)'!$B$5:$AQ$14,30,FALSE)&gt;G$150,10,IF(VLOOKUP($B80,'Indicator Data (national)'!$B$5:$AQ$14,30,FALSE)&lt;G$149,0,(G$150-VLOOKUP($B80,'Indicator Data (national)'!$B$5:$AQ$14,30,FALSE))/(G$150-G$149)*10)))</f>
        <v>7.5</v>
      </c>
      <c r="H80" s="2">
        <f>IF(VLOOKUP($B80,'Indicator Data (national)'!$B$5:$AQ$14,29,FALSE)="No data","x",IF(VLOOKUP($B80,'Indicator Data (national)'!$B$5:$AQ$14,29,FALSE)&gt;H$150,10,IF(VLOOKUP($B80,'Indicator Data (national)'!$B$5:$AQ$14,29,FALSE)&lt;H$149,0,(H$150-VLOOKUP($B80,'Indicator Data (national)'!$B$5:$AQ$14,29,FALSE))/(H$150-H$149)*10)))</f>
        <v>5.9728583693504333</v>
      </c>
      <c r="I80" s="3">
        <f t="shared" si="23"/>
        <v>6.7364291846752167</v>
      </c>
      <c r="J80" s="5">
        <f t="shared" si="24"/>
        <v>7.4054987723622201</v>
      </c>
      <c r="K80" s="2">
        <f>IF(VLOOKUP($B80,'Indicator Data (national)'!$B$5:$AQ$14,33,FALSE)="No data","x",IF(VLOOKUP($B80,'Indicator Data (national)'!$B$5:$AQ$14,33,FALSE)&gt;K$150,10,IF(VLOOKUP($B80,'Indicator Data (national)'!$B$5:$AQ$14,33,FALSE)&lt;K$149,0,(K$150-VLOOKUP($B80,'Indicator Data (national)'!$B$5:$AQ$14,33,FALSE))/(K$150-K$149)*10)))</f>
        <v>2.2000000000000002</v>
      </c>
      <c r="L80" s="2">
        <f>IF(VLOOKUP($B80,'Indicator Data (national)'!$B$5:$AQ$14,34,FALSE)="No data","x",IF(VLOOKUP($B80,'Indicator Data (national)'!$B$5:$AQ$14,34,FALSE)&gt;L$150,10,IF(VLOOKUP($B80,'Indicator Data (national)'!$B$5:$AQ$14,34,FALSE)&lt;L$149,0,(L$150-VLOOKUP($B80,'Indicator Data (national)'!$B$5:$AQ$14,34,FALSE))/(L$150-L$149)*10)))</f>
        <v>2.8235954477835907</v>
      </c>
      <c r="M80" s="3">
        <f t="shared" si="25"/>
        <v>2.5117977238917955</v>
      </c>
      <c r="N80" s="2">
        <f>IF(VLOOKUP($B80,'Indicator Data (national)'!$B$5:$AS$14,44,FALSE)="No data","x",IF(VLOOKUP($B80,'Indicator Data (national)'!$B$5:$AS$14,44,FALSE)&gt;N$150,10,IF(VLOOKUP($B80,'Indicator Data (national)'!$B$5:$AS$14,44,FALSE)&lt;N$149,0,10-(N$150-VLOOKUP($B80,'Indicator Data (national)'!$B$5:$AS$14,44,FALSE))/(N$150-N$149)*10)))</f>
        <v>3.9000000000000004</v>
      </c>
      <c r="O80" s="2">
        <f>IF(VLOOKUP($B80,'Indicator Data (national)'!$B$5:$AS$14,42,FALSE)="No data","x",IF(VLOOKUP($B80,'Indicator Data (national)'!$B$5:$AS$14,42,FALSE)&gt;O$150,0,IF(VLOOKUP($B80,'Indicator Data (national)'!$B$5:$AS$14,42,FALSE)&lt;O$149,10,(O$150-VLOOKUP($B80,'Indicator Data (national)'!$B$5:$AS$14,42,FALSE))/(O$150-O$149)*10)))</f>
        <v>9.3507578421680311</v>
      </c>
      <c r="P80" s="158">
        <f t="shared" si="26"/>
        <v>6.6253789210840157</v>
      </c>
      <c r="Q80" s="2">
        <f>IF(VLOOKUP($B80,'Indicator Data (national)'!$B$5:$Q$14,16,FALSE)="No data","x",IF(VLOOKUP($B80,'Indicator Data (national)'!$B$5:$Q$14,16,FALSE)&gt;Q$150,0,IF(VLOOKUP($B80,'Indicator Data (national)'!$B$5:$Q$14,16,FALSE)&lt;Q$149,10,(Q$150-VLOOKUP($B80,'Indicator Data (national)'!$B$5:$Q$14,16,FALSE))/(Q$150-Q$149)*10)))</f>
        <v>8.1999999999999993</v>
      </c>
      <c r="R80" s="158">
        <f t="shared" si="27"/>
        <v>8.1999999999999993</v>
      </c>
      <c r="S80" s="3">
        <f t="shared" si="18"/>
        <v>7.4126894605420075</v>
      </c>
      <c r="T80" s="2">
        <f>IF(VLOOKUP($B80,'Indicator Data (national)'!$B$5:$BC$14,43,FALSE)="No data","x",IF(VLOOKUP($B80,'Indicator Data (national)'!$B$5:$BC$14,43,FALSE)&gt;T$150,10,IF(VLOOKUP($B80,'Indicator Data (national)'!$B$5:$BC$14,43,FALSE)&lt;T$149,0,(T$150-VLOOKUP($B80,'Indicator Data (national)'!$B$5:$BC$14,43,FALSE))/(T$150-T$149)*10)))</f>
        <v>9.8647237723687979</v>
      </c>
      <c r="U80" s="3">
        <f t="shared" si="28"/>
        <v>9.8647237723687979</v>
      </c>
      <c r="V80" s="5">
        <f t="shared" si="19"/>
        <v>6.5964036522675329</v>
      </c>
      <c r="W80" s="2">
        <f>IF(VLOOKUP($B80,'Indicator Data (national)'!$B$5:$AS$14,37,FALSE)="No data","x",IF(VLOOKUP($B80,'Indicator Data (national)'!$B$5:$AS$14,37,FALSE)&gt;W$150,10,IF(VLOOKUP($B80,'Indicator Data (national)'!$B$5:$AS$14,37,FALSE)&lt;W$149,0,(LOG(W$150)-LOG(VLOOKUP($B80,'Indicator Data (national)'!$B$5:$AS$14,37,FALSE)))/(LOG(W$150)-LOG(W$149))*10)))</f>
        <v>7.6457347942026841</v>
      </c>
      <c r="X80" s="2">
        <f>IF(VLOOKUP($B80,'Indicator Data (national)'!$B$5:$BB$14,45,FALSE)="No data","x",IF(VLOOKUP($B80,'Indicator Data (national)'!$B$5:$BB$14,45,FALSE)&gt;X$150,10,IF(VLOOKUP($B80,'Indicator Data (national)'!$B$5:$BB$14,45,FALSE)&lt;X$149,0,10-(X$150-VLOOKUP($B80,'Indicator Data (national)'!$B$5:$BB$14,45,FALSE))/(X$150-X$149)*10)))</f>
        <v>6.2222222222222223</v>
      </c>
      <c r="Y80" s="2">
        <f>IF(VLOOKUP($B80,'Indicator Data (national)'!$B$5:$BB$14,46,FALSE)="No data","x",IF(VLOOKUP($B80,'Indicator Data (national)'!$B$5:$BB$14,46,FALSE)&gt;Y$150,10,IF(VLOOKUP($B80,'Indicator Data (national)'!$B$5:$BB$14,46,FALSE)&lt;Y$149,0,(Y$150-VLOOKUP($B80,'Indicator Data (national)'!$B$5:$BB$14,46,FALSE))/(Y$150-Y$149)*10)))</f>
        <v>8</v>
      </c>
      <c r="Z80" s="156">
        <f>IF(VLOOKUP($B80,'Indicator Data (national)'!$B$5:$BB$14,48,FALSE)="No data","x",VLOOKUP($B80,'Indicator Data (national)'!$B$5:$BB$14,47,FALSE)*VLOOKUP($B80,'Indicator Data (national)'!$B$5:$BB$14,48,FALSE))</f>
        <v>9.814910769612494</v>
      </c>
      <c r="AA80" s="2">
        <f t="shared" si="29"/>
        <v>9.0185089230387501</v>
      </c>
      <c r="AB80" s="3">
        <f t="shared" si="30"/>
        <v>7.7216164848659146</v>
      </c>
      <c r="AC80" s="2">
        <f>IF(VLOOKUP($B80,'Indicator Data (national)'!$B$5:$BB$14,49,FALSE)="No data","x",IF(VLOOKUP($B80,'Indicator Data (national)'!$B$5:$BB$14,49,FALSE)&gt;AC$150,0,IF(VLOOKUP($B80,'Indicator Data (national)'!$B$5:$BB$14,49,FALSE)&lt;AC$149,10,(AC$150-VLOOKUP($B80,'Indicator Data (national)'!$B$5:$BB$14,49,FALSE))/(AC$150-AC$149)*10)))</f>
        <v>8.6440000000000001</v>
      </c>
      <c r="AD80" s="2">
        <f>IF(VLOOKUP($B80,'Indicator Data (national)'!$B$5:$BB$14,50,FALSE)="No data","x",IF(VLOOKUP($B80,'Indicator Data (national)'!$B$5:$BB$14,50,FALSE)&gt;AD$150,0,IF(VLOOKUP($B80,'Indicator Data (national)'!$B$5:$BB$14,50,FALSE)&lt;AD$149,10,(AD$150-VLOOKUP($B80,'Indicator Data (national)'!$B$5:$BB$14,50,FALSE))/(AD$150-AD$149)*10)))</f>
        <v>8.6471999999999998</v>
      </c>
      <c r="AE80" s="3">
        <f t="shared" si="31"/>
        <v>8.6456</v>
      </c>
      <c r="AF80" s="2">
        <f>IF(VLOOKUP($B80,'Indicator Data (national)'!$B$5:$BB$14,51,FALSE)="No data","x",IF(VLOOKUP($B80,'Indicator Data (national)'!$B$5:$BB$14,51,FALSE)&gt;AF$150,0,IF(VLOOKUP($B80,'Indicator Data (national)'!$B$5:$BB$14,51,FALSE)&lt;AF$149,10,(AF$150-VLOOKUP($B80,'Indicator Data (national)'!$B$5:$BB$14,51,FALSE))/(AF$150-AF$149)*10)))</f>
        <v>0</v>
      </c>
      <c r="AG80" s="2">
        <f>IF(VLOOKUP($B80,'Indicator Data (national)'!$B$5:$BB$14,52,FALSE)="No data","x",IF(VLOOKUP($B80,'Indicator Data (national)'!$B$5:$BB$14,52,FALSE)&gt;AG$150,0,IF(VLOOKUP($B80,'Indicator Data (national)'!$B$5:$BB$14,52,FALSE)&lt;AG$149,10,(AG$150-VLOOKUP($B80,'Indicator Data (national)'!$B$5:$BB$14,52,FALSE))/(AG$150-AG$149)*10)))</f>
        <v>0</v>
      </c>
      <c r="AH80" s="2">
        <f>IF(VLOOKUP($B80,'Indicator Data (national)'!$B$5:$BB$14,53,FALSE)="No data","x",IF(VLOOKUP($B80,'Indicator Data (national)'!$B$5:$BB$14,53,FALSE)&gt;AH$150,0,IF(VLOOKUP($B80,'Indicator Data (national)'!$B$5:$BB$14,53,FALSE)&lt;AH$149,10,(AH$150-VLOOKUP($B80,'Indicator Data (national)'!$B$5:$BB$14,53,FALSE))/(AH$150-AH$149)*10)))</f>
        <v>5.1780682960214941</v>
      </c>
      <c r="AI80" s="3">
        <f t="shared" si="32"/>
        <v>1.726022765340498</v>
      </c>
      <c r="AJ80" s="5">
        <f t="shared" si="20"/>
        <v>6.0310797500688045</v>
      </c>
    </row>
    <row r="81" spans="1:36" s="11" customFormat="1" x14ac:dyDescent="0.25">
      <c r="A81" s="16" t="s">
        <v>448</v>
      </c>
      <c r="B81" s="11" t="s">
        <v>576</v>
      </c>
      <c r="C81" s="126" t="s">
        <v>673</v>
      </c>
      <c r="D81" s="120">
        <f>(VLOOKUP($B81,'Indicator Data (national)'!$B$5:$AP$14,39,FALSE)+VLOOKUP($B81,'Indicator Data (national)'!$B$5:$AP$14,40,FALSE)+VLOOKUP($B81,'Indicator Data (national)'!$B$5:$AP$14,41,FALSE))/VLOOKUP($B81,'Indicator Data (national)'!$B$5:$AP$14,38,FALSE)*1000000</f>
        <v>0.3850863279901553</v>
      </c>
      <c r="E81" s="2">
        <f t="shared" si="21"/>
        <v>8.0745683600492235</v>
      </c>
      <c r="F81" s="3">
        <f t="shared" si="22"/>
        <v>8.0745683600492235</v>
      </c>
      <c r="G81" s="2">
        <f>IF(VLOOKUP($B81,'Indicator Data (national)'!$B$5:$AQ$14,30,FALSE)="No data","x",IF(VLOOKUP($B81,'Indicator Data (national)'!$B$5:$AQ$14,30,FALSE)&gt;G$150,10,IF(VLOOKUP($B81,'Indicator Data (national)'!$B$5:$AQ$14,30,FALSE)&lt;G$149,0,(G$150-VLOOKUP($B81,'Indicator Data (national)'!$B$5:$AQ$14,30,FALSE))/(G$150-G$149)*10)))</f>
        <v>7.5</v>
      </c>
      <c r="H81" s="2">
        <f>IF(VLOOKUP($B81,'Indicator Data (national)'!$B$5:$AQ$14,29,FALSE)="No data","x",IF(VLOOKUP($B81,'Indicator Data (national)'!$B$5:$AQ$14,29,FALSE)&gt;H$150,10,IF(VLOOKUP($B81,'Indicator Data (national)'!$B$5:$AQ$14,29,FALSE)&lt;H$149,0,(H$150-VLOOKUP($B81,'Indicator Data (national)'!$B$5:$AQ$14,29,FALSE))/(H$150-H$149)*10)))</f>
        <v>5.9728583693504333</v>
      </c>
      <c r="I81" s="3">
        <f t="shared" si="23"/>
        <v>6.7364291846752167</v>
      </c>
      <c r="J81" s="5">
        <f t="shared" si="24"/>
        <v>7.4054987723622201</v>
      </c>
      <c r="K81" s="2">
        <f>IF(VLOOKUP($B81,'Indicator Data (national)'!$B$5:$AQ$14,33,FALSE)="No data","x",IF(VLOOKUP($B81,'Indicator Data (national)'!$B$5:$AQ$14,33,FALSE)&gt;K$150,10,IF(VLOOKUP($B81,'Indicator Data (national)'!$B$5:$AQ$14,33,FALSE)&lt;K$149,0,(K$150-VLOOKUP($B81,'Indicator Data (national)'!$B$5:$AQ$14,33,FALSE))/(K$150-K$149)*10)))</f>
        <v>2.2000000000000002</v>
      </c>
      <c r="L81" s="2">
        <f>IF(VLOOKUP($B81,'Indicator Data (national)'!$B$5:$AQ$14,34,FALSE)="No data","x",IF(VLOOKUP($B81,'Indicator Data (national)'!$B$5:$AQ$14,34,FALSE)&gt;L$150,10,IF(VLOOKUP($B81,'Indicator Data (national)'!$B$5:$AQ$14,34,FALSE)&lt;L$149,0,(L$150-VLOOKUP($B81,'Indicator Data (national)'!$B$5:$AQ$14,34,FALSE))/(L$150-L$149)*10)))</f>
        <v>2.8235954477835907</v>
      </c>
      <c r="M81" s="3">
        <f t="shared" si="25"/>
        <v>2.5117977238917955</v>
      </c>
      <c r="N81" s="2">
        <f>IF(VLOOKUP($B81,'Indicator Data (national)'!$B$5:$AS$14,44,FALSE)="No data","x",IF(VLOOKUP($B81,'Indicator Data (national)'!$B$5:$AS$14,44,FALSE)&gt;N$150,10,IF(VLOOKUP($B81,'Indicator Data (national)'!$B$5:$AS$14,44,FALSE)&lt;N$149,0,10-(N$150-VLOOKUP($B81,'Indicator Data (national)'!$B$5:$AS$14,44,FALSE))/(N$150-N$149)*10)))</f>
        <v>3.9000000000000004</v>
      </c>
      <c r="O81" s="2">
        <f>IF(VLOOKUP($B81,'Indicator Data (national)'!$B$5:$AS$14,42,FALSE)="No data","x",IF(VLOOKUP($B81,'Indicator Data (national)'!$B$5:$AS$14,42,FALSE)&gt;O$150,0,IF(VLOOKUP($B81,'Indicator Data (national)'!$B$5:$AS$14,42,FALSE)&lt;O$149,10,(O$150-VLOOKUP($B81,'Indicator Data (national)'!$B$5:$AS$14,42,FALSE))/(O$150-O$149)*10)))</f>
        <v>9.3507578421680311</v>
      </c>
      <c r="P81" s="158">
        <f t="shared" si="26"/>
        <v>6.6253789210840157</v>
      </c>
      <c r="Q81" s="2">
        <f>IF(VLOOKUP($B81,'Indicator Data (national)'!$B$5:$Q$14,16,FALSE)="No data","x",IF(VLOOKUP($B81,'Indicator Data (national)'!$B$5:$Q$14,16,FALSE)&gt;Q$150,0,IF(VLOOKUP($B81,'Indicator Data (national)'!$B$5:$Q$14,16,FALSE)&lt;Q$149,10,(Q$150-VLOOKUP($B81,'Indicator Data (national)'!$B$5:$Q$14,16,FALSE))/(Q$150-Q$149)*10)))</f>
        <v>8.1999999999999993</v>
      </c>
      <c r="R81" s="158">
        <f t="shared" si="27"/>
        <v>8.1999999999999993</v>
      </c>
      <c r="S81" s="3">
        <f t="shared" si="18"/>
        <v>7.4126894605420075</v>
      </c>
      <c r="T81" s="2">
        <f>IF(VLOOKUP($B81,'Indicator Data (national)'!$B$5:$BC$14,43,FALSE)="No data","x",IF(VLOOKUP($B81,'Indicator Data (national)'!$B$5:$BC$14,43,FALSE)&gt;T$150,10,IF(VLOOKUP($B81,'Indicator Data (national)'!$B$5:$BC$14,43,FALSE)&lt;T$149,0,(T$150-VLOOKUP($B81,'Indicator Data (national)'!$B$5:$BC$14,43,FALSE))/(T$150-T$149)*10)))</f>
        <v>9.8647237723687979</v>
      </c>
      <c r="U81" s="3">
        <f t="shared" si="28"/>
        <v>9.8647237723687979</v>
      </c>
      <c r="V81" s="5">
        <f t="shared" si="19"/>
        <v>6.5964036522675329</v>
      </c>
      <c r="W81" s="2">
        <f>IF(VLOOKUP($B81,'Indicator Data (national)'!$B$5:$AS$14,37,FALSE)="No data","x",IF(VLOOKUP($B81,'Indicator Data (national)'!$B$5:$AS$14,37,FALSE)&gt;W$150,10,IF(VLOOKUP($B81,'Indicator Data (national)'!$B$5:$AS$14,37,FALSE)&lt;W$149,0,(LOG(W$150)-LOG(VLOOKUP($B81,'Indicator Data (national)'!$B$5:$AS$14,37,FALSE)))/(LOG(W$150)-LOG(W$149))*10)))</f>
        <v>7.6457347942026841</v>
      </c>
      <c r="X81" s="2">
        <f>IF(VLOOKUP($B81,'Indicator Data (national)'!$B$5:$BB$14,45,FALSE)="No data","x",IF(VLOOKUP($B81,'Indicator Data (national)'!$B$5:$BB$14,45,FALSE)&gt;X$150,10,IF(VLOOKUP($B81,'Indicator Data (national)'!$B$5:$BB$14,45,FALSE)&lt;X$149,0,10-(X$150-VLOOKUP($B81,'Indicator Data (national)'!$B$5:$BB$14,45,FALSE))/(X$150-X$149)*10)))</f>
        <v>6.2222222222222223</v>
      </c>
      <c r="Y81" s="2">
        <f>IF(VLOOKUP($B81,'Indicator Data (national)'!$B$5:$BB$14,46,FALSE)="No data","x",IF(VLOOKUP($B81,'Indicator Data (national)'!$B$5:$BB$14,46,FALSE)&gt;Y$150,10,IF(VLOOKUP($B81,'Indicator Data (national)'!$B$5:$BB$14,46,FALSE)&lt;Y$149,0,(Y$150-VLOOKUP($B81,'Indicator Data (national)'!$B$5:$BB$14,46,FALSE))/(Y$150-Y$149)*10)))</f>
        <v>8</v>
      </c>
      <c r="Z81" s="156">
        <f>IF(VLOOKUP($B81,'Indicator Data (national)'!$B$5:$BB$14,48,FALSE)="No data","x",VLOOKUP($B81,'Indicator Data (national)'!$B$5:$BB$14,47,FALSE)*VLOOKUP($B81,'Indicator Data (national)'!$B$5:$BB$14,48,FALSE))</f>
        <v>9.814910769612494</v>
      </c>
      <c r="AA81" s="2">
        <f t="shared" si="29"/>
        <v>9.0185089230387501</v>
      </c>
      <c r="AB81" s="3">
        <f t="shared" si="30"/>
        <v>7.7216164848659146</v>
      </c>
      <c r="AC81" s="2">
        <f>IF(VLOOKUP($B81,'Indicator Data (national)'!$B$5:$BB$14,49,FALSE)="No data","x",IF(VLOOKUP($B81,'Indicator Data (national)'!$B$5:$BB$14,49,FALSE)&gt;AC$150,0,IF(VLOOKUP($B81,'Indicator Data (national)'!$B$5:$BB$14,49,FALSE)&lt;AC$149,10,(AC$150-VLOOKUP($B81,'Indicator Data (national)'!$B$5:$BB$14,49,FALSE))/(AC$150-AC$149)*10)))</f>
        <v>8.6440000000000001</v>
      </c>
      <c r="AD81" s="2">
        <f>IF(VLOOKUP($B81,'Indicator Data (national)'!$B$5:$BB$14,50,FALSE)="No data","x",IF(VLOOKUP($B81,'Indicator Data (national)'!$B$5:$BB$14,50,FALSE)&gt;AD$150,0,IF(VLOOKUP($B81,'Indicator Data (national)'!$B$5:$BB$14,50,FALSE)&lt;AD$149,10,(AD$150-VLOOKUP($B81,'Indicator Data (national)'!$B$5:$BB$14,50,FALSE))/(AD$150-AD$149)*10)))</f>
        <v>8.6471999999999998</v>
      </c>
      <c r="AE81" s="3">
        <f t="shared" si="31"/>
        <v>8.6456</v>
      </c>
      <c r="AF81" s="2">
        <f>IF(VLOOKUP($B81,'Indicator Data (national)'!$B$5:$BB$14,51,FALSE)="No data","x",IF(VLOOKUP($B81,'Indicator Data (national)'!$B$5:$BB$14,51,FALSE)&gt;AF$150,0,IF(VLOOKUP($B81,'Indicator Data (national)'!$B$5:$BB$14,51,FALSE)&lt;AF$149,10,(AF$150-VLOOKUP($B81,'Indicator Data (national)'!$B$5:$BB$14,51,FALSE))/(AF$150-AF$149)*10)))</f>
        <v>0</v>
      </c>
      <c r="AG81" s="2">
        <f>IF(VLOOKUP($B81,'Indicator Data (national)'!$B$5:$BB$14,52,FALSE)="No data","x",IF(VLOOKUP($B81,'Indicator Data (national)'!$B$5:$BB$14,52,FALSE)&gt;AG$150,0,IF(VLOOKUP($B81,'Indicator Data (national)'!$B$5:$BB$14,52,FALSE)&lt;AG$149,10,(AG$150-VLOOKUP($B81,'Indicator Data (national)'!$B$5:$BB$14,52,FALSE))/(AG$150-AG$149)*10)))</f>
        <v>0</v>
      </c>
      <c r="AH81" s="2">
        <f>IF(VLOOKUP($B81,'Indicator Data (national)'!$B$5:$BB$14,53,FALSE)="No data","x",IF(VLOOKUP($B81,'Indicator Data (national)'!$B$5:$BB$14,53,FALSE)&gt;AH$150,0,IF(VLOOKUP($B81,'Indicator Data (national)'!$B$5:$BB$14,53,FALSE)&lt;AH$149,10,(AH$150-VLOOKUP($B81,'Indicator Data (national)'!$B$5:$BB$14,53,FALSE))/(AH$150-AH$149)*10)))</f>
        <v>5.1780682960214941</v>
      </c>
      <c r="AI81" s="3">
        <f t="shared" si="32"/>
        <v>1.726022765340498</v>
      </c>
      <c r="AJ81" s="5">
        <f t="shared" si="20"/>
        <v>6.0310797500688045</v>
      </c>
    </row>
    <row r="82" spans="1:36" s="11" customFormat="1" x14ac:dyDescent="0.25">
      <c r="A82" s="16" t="s">
        <v>449</v>
      </c>
      <c r="B82" s="11" t="s">
        <v>576</v>
      </c>
      <c r="C82" s="126" t="s">
        <v>674</v>
      </c>
      <c r="D82" s="120">
        <f>(VLOOKUP($B82,'Indicator Data (national)'!$B$5:$AP$14,39,FALSE)+VLOOKUP($B82,'Indicator Data (national)'!$B$5:$AP$14,40,FALSE)+VLOOKUP($B82,'Indicator Data (national)'!$B$5:$AP$14,41,FALSE))/VLOOKUP($B82,'Indicator Data (national)'!$B$5:$AP$14,38,FALSE)*1000000</f>
        <v>0.3850863279901553</v>
      </c>
      <c r="E82" s="2">
        <f t="shared" si="21"/>
        <v>8.0745683600492235</v>
      </c>
      <c r="F82" s="3">
        <f t="shared" si="22"/>
        <v>8.0745683600492235</v>
      </c>
      <c r="G82" s="2">
        <f>IF(VLOOKUP($B82,'Indicator Data (national)'!$B$5:$AQ$14,30,FALSE)="No data","x",IF(VLOOKUP($B82,'Indicator Data (national)'!$B$5:$AQ$14,30,FALSE)&gt;G$150,10,IF(VLOOKUP($B82,'Indicator Data (national)'!$B$5:$AQ$14,30,FALSE)&lt;G$149,0,(G$150-VLOOKUP($B82,'Indicator Data (national)'!$B$5:$AQ$14,30,FALSE))/(G$150-G$149)*10)))</f>
        <v>7.5</v>
      </c>
      <c r="H82" s="2">
        <f>IF(VLOOKUP($B82,'Indicator Data (national)'!$B$5:$AQ$14,29,FALSE)="No data","x",IF(VLOOKUP($B82,'Indicator Data (national)'!$B$5:$AQ$14,29,FALSE)&gt;H$150,10,IF(VLOOKUP($B82,'Indicator Data (national)'!$B$5:$AQ$14,29,FALSE)&lt;H$149,0,(H$150-VLOOKUP($B82,'Indicator Data (national)'!$B$5:$AQ$14,29,FALSE))/(H$150-H$149)*10)))</f>
        <v>5.9728583693504333</v>
      </c>
      <c r="I82" s="3">
        <f t="shared" si="23"/>
        <v>6.7364291846752167</v>
      </c>
      <c r="J82" s="5">
        <f t="shared" si="24"/>
        <v>7.4054987723622201</v>
      </c>
      <c r="K82" s="2">
        <f>IF(VLOOKUP($B82,'Indicator Data (national)'!$B$5:$AQ$14,33,FALSE)="No data","x",IF(VLOOKUP($B82,'Indicator Data (national)'!$B$5:$AQ$14,33,FALSE)&gt;K$150,10,IF(VLOOKUP($B82,'Indicator Data (national)'!$B$5:$AQ$14,33,FALSE)&lt;K$149,0,(K$150-VLOOKUP($B82,'Indicator Data (national)'!$B$5:$AQ$14,33,FALSE))/(K$150-K$149)*10)))</f>
        <v>2.2000000000000002</v>
      </c>
      <c r="L82" s="2">
        <f>IF(VLOOKUP($B82,'Indicator Data (national)'!$B$5:$AQ$14,34,FALSE)="No data","x",IF(VLOOKUP($B82,'Indicator Data (national)'!$B$5:$AQ$14,34,FALSE)&gt;L$150,10,IF(VLOOKUP($B82,'Indicator Data (national)'!$B$5:$AQ$14,34,FALSE)&lt;L$149,0,(L$150-VLOOKUP($B82,'Indicator Data (national)'!$B$5:$AQ$14,34,FALSE))/(L$150-L$149)*10)))</f>
        <v>2.8235954477835907</v>
      </c>
      <c r="M82" s="3">
        <f t="shared" si="25"/>
        <v>2.5117977238917955</v>
      </c>
      <c r="N82" s="2">
        <f>IF(VLOOKUP($B82,'Indicator Data (national)'!$B$5:$AS$14,44,FALSE)="No data","x",IF(VLOOKUP($B82,'Indicator Data (national)'!$B$5:$AS$14,44,FALSE)&gt;N$150,10,IF(VLOOKUP($B82,'Indicator Data (national)'!$B$5:$AS$14,44,FALSE)&lt;N$149,0,10-(N$150-VLOOKUP($B82,'Indicator Data (national)'!$B$5:$AS$14,44,FALSE))/(N$150-N$149)*10)))</f>
        <v>3.9000000000000004</v>
      </c>
      <c r="O82" s="2">
        <f>IF(VLOOKUP($B82,'Indicator Data (national)'!$B$5:$AS$14,42,FALSE)="No data","x",IF(VLOOKUP($B82,'Indicator Data (national)'!$B$5:$AS$14,42,FALSE)&gt;O$150,0,IF(VLOOKUP($B82,'Indicator Data (national)'!$B$5:$AS$14,42,FALSE)&lt;O$149,10,(O$150-VLOOKUP($B82,'Indicator Data (national)'!$B$5:$AS$14,42,FALSE))/(O$150-O$149)*10)))</f>
        <v>9.3507578421680311</v>
      </c>
      <c r="P82" s="158">
        <f t="shared" si="26"/>
        <v>6.6253789210840157</v>
      </c>
      <c r="Q82" s="2">
        <f>IF(VLOOKUP($B82,'Indicator Data (national)'!$B$5:$Q$14,16,FALSE)="No data","x",IF(VLOOKUP($B82,'Indicator Data (national)'!$B$5:$Q$14,16,FALSE)&gt;Q$150,0,IF(VLOOKUP($B82,'Indicator Data (national)'!$B$5:$Q$14,16,FALSE)&lt;Q$149,10,(Q$150-VLOOKUP($B82,'Indicator Data (national)'!$B$5:$Q$14,16,FALSE))/(Q$150-Q$149)*10)))</f>
        <v>8.1999999999999993</v>
      </c>
      <c r="R82" s="158">
        <f t="shared" si="27"/>
        <v>8.1999999999999993</v>
      </c>
      <c r="S82" s="3">
        <f t="shared" si="18"/>
        <v>7.4126894605420075</v>
      </c>
      <c r="T82" s="2">
        <f>IF(VLOOKUP($B82,'Indicator Data (national)'!$B$5:$BC$14,43,FALSE)="No data","x",IF(VLOOKUP($B82,'Indicator Data (national)'!$B$5:$BC$14,43,FALSE)&gt;T$150,10,IF(VLOOKUP($B82,'Indicator Data (national)'!$B$5:$BC$14,43,FALSE)&lt;T$149,0,(T$150-VLOOKUP($B82,'Indicator Data (national)'!$B$5:$BC$14,43,FALSE))/(T$150-T$149)*10)))</f>
        <v>9.8647237723687979</v>
      </c>
      <c r="U82" s="3">
        <f t="shared" si="28"/>
        <v>9.8647237723687979</v>
      </c>
      <c r="V82" s="5">
        <f t="shared" si="19"/>
        <v>6.5964036522675329</v>
      </c>
      <c r="W82" s="2">
        <f>IF(VLOOKUP($B82,'Indicator Data (national)'!$B$5:$AS$14,37,FALSE)="No data","x",IF(VLOOKUP($B82,'Indicator Data (national)'!$B$5:$AS$14,37,FALSE)&gt;W$150,10,IF(VLOOKUP($B82,'Indicator Data (national)'!$B$5:$AS$14,37,FALSE)&lt;W$149,0,(LOG(W$150)-LOG(VLOOKUP($B82,'Indicator Data (national)'!$B$5:$AS$14,37,FALSE)))/(LOG(W$150)-LOG(W$149))*10)))</f>
        <v>7.6457347942026841</v>
      </c>
      <c r="X82" s="2">
        <f>IF(VLOOKUP($B82,'Indicator Data (national)'!$B$5:$BB$14,45,FALSE)="No data","x",IF(VLOOKUP($B82,'Indicator Data (national)'!$B$5:$BB$14,45,FALSE)&gt;X$150,10,IF(VLOOKUP($B82,'Indicator Data (national)'!$B$5:$BB$14,45,FALSE)&lt;X$149,0,10-(X$150-VLOOKUP($B82,'Indicator Data (national)'!$B$5:$BB$14,45,FALSE))/(X$150-X$149)*10)))</f>
        <v>6.2222222222222223</v>
      </c>
      <c r="Y82" s="2">
        <f>IF(VLOOKUP($B82,'Indicator Data (national)'!$B$5:$BB$14,46,FALSE)="No data","x",IF(VLOOKUP($B82,'Indicator Data (national)'!$B$5:$BB$14,46,FALSE)&gt;Y$150,10,IF(VLOOKUP($B82,'Indicator Data (national)'!$B$5:$BB$14,46,FALSE)&lt;Y$149,0,(Y$150-VLOOKUP($B82,'Indicator Data (national)'!$B$5:$BB$14,46,FALSE))/(Y$150-Y$149)*10)))</f>
        <v>8</v>
      </c>
      <c r="Z82" s="156">
        <f>IF(VLOOKUP($B82,'Indicator Data (national)'!$B$5:$BB$14,48,FALSE)="No data","x",VLOOKUP($B82,'Indicator Data (national)'!$B$5:$BB$14,47,FALSE)*VLOOKUP($B82,'Indicator Data (national)'!$B$5:$BB$14,48,FALSE))</f>
        <v>9.814910769612494</v>
      </c>
      <c r="AA82" s="2">
        <f t="shared" si="29"/>
        <v>9.0185089230387501</v>
      </c>
      <c r="AB82" s="3">
        <f t="shared" si="30"/>
        <v>7.7216164848659146</v>
      </c>
      <c r="AC82" s="2">
        <f>IF(VLOOKUP($B82,'Indicator Data (national)'!$B$5:$BB$14,49,FALSE)="No data","x",IF(VLOOKUP($B82,'Indicator Data (national)'!$B$5:$BB$14,49,FALSE)&gt;AC$150,0,IF(VLOOKUP($B82,'Indicator Data (national)'!$B$5:$BB$14,49,FALSE)&lt;AC$149,10,(AC$150-VLOOKUP($B82,'Indicator Data (national)'!$B$5:$BB$14,49,FALSE))/(AC$150-AC$149)*10)))</f>
        <v>8.6440000000000001</v>
      </c>
      <c r="AD82" s="2">
        <f>IF(VLOOKUP($B82,'Indicator Data (national)'!$B$5:$BB$14,50,FALSE)="No data","x",IF(VLOOKUP($B82,'Indicator Data (national)'!$B$5:$BB$14,50,FALSE)&gt;AD$150,0,IF(VLOOKUP($B82,'Indicator Data (national)'!$B$5:$BB$14,50,FALSE)&lt;AD$149,10,(AD$150-VLOOKUP($B82,'Indicator Data (national)'!$B$5:$BB$14,50,FALSE))/(AD$150-AD$149)*10)))</f>
        <v>8.6471999999999998</v>
      </c>
      <c r="AE82" s="3">
        <f t="shared" si="31"/>
        <v>8.6456</v>
      </c>
      <c r="AF82" s="2">
        <f>IF(VLOOKUP($B82,'Indicator Data (national)'!$B$5:$BB$14,51,FALSE)="No data","x",IF(VLOOKUP($B82,'Indicator Data (national)'!$B$5:$BB$14,51,FALSE)&gt;AF$150,0,IF(VLOOKUP($B82,'Indicator Data (national)'!$B$5:$BB$14,51,FALSE)&lt;AF$149,10,(AF$150-VLOOKUP($B82,'Indicator Data (national)'!$B$5:$BB$14,51,FALSE))/(AF$150-AF$149)*10)))</f>
        <v>0</v>
      </c>
      <c r="AG82" s="2">
        <f>IF(VLOOKUP($B82,'Indicator Data (national)'!$B$5:$BB$14,52,FALSE)="No data","x",IF(VLOOKUP($B82,'Indicator Data (national)'!$B$5:$BB$14,52,FALSE)&gt;AG$150,0,IF(VLOOKUP($B82,'Indicator Data (national)'!$B$5:$BB$14,52,FALSE)&lt;AG$149,10,(AG$150-VLOOKUP($B82,'Indicator Data (national)'!$B$5:$BB$14,52,FALSE))/(AG$150-AG$149)*10)))</f>
        <v>0</v>
      </c>
      <c r="AH82" s="2">
        <f>IF(VLOOKUP($B82,'Indicator Data (national)'!$B$5:$BB$14,53,FALSE)="No data","x",IF(VLOOKUP($B82,'Indicator Data (national)'!$B$5:$BB$14,53,FALSE)&gt;AH$150,0,IF(VLOOKUP($B82,'Indicator Data (national)'!$B$5:$BB$14,53,FALSE)&lt;AH$149,10,(AH$150-VLOOKUP($B82,'Indicator Data (national)'!$B$5:$BB$14,53,FALSE))/(AH$150-AH$149)*10)))</f>
        <v>5.1780682960214941</v>
      </c>
      <c r="AI82" s="3">
        <f t="shared" si="32"/>
        <v>1.726022765340498</v>
      </c>
      <c r="AJ82" s="5">
        <f t="shared" si="20"/>
        <v>6.0310797500688045</v>
      </c>
    </row>
    <row r="83" spans="1:36" s="11" customFormat="1" x14ac:dyDescent="0.25">
      <c r="A83" s="16" t="s">
        <v>450</v>
      </c>
      <c r="B83" s="11" t="s">
        <v>576</v>
      </c>
      <c r="C83" s="126" t="s">
        <v>675</v>
      </c>
      <c r="D83" s="120">
        <f>(VLOOKUP($B83,'Indicator Data (national)'!$B$5:$AP$14,39,FALSE)+VLOOKUP($B83,'Indicator Data (national)'!$B$5:$AP$14,40,FALSE)+VLOOKUP($B83,'Indicator Data (national)'!$B$5:$AP$14,41,FALSE))/VLOOKUP($B83,'Indicator Data (national)'!$B$5:$AP$14,38,FALSE)*1000000</f>
        <v>0.3850863279901553</v>
      </c>
      <c r="E83" s="2">
        <f t="shared" si="21"/>
        <v>8.0745683600492235</v>
      </c>
      <c r="F83" s="3">
        <f t="shared" si="22"/>
        <v>8.0745683600492235</v>
      </c>
      <c r="G83" s="2">
        <f>IF(VLOOKUP($B83,'Indicator Data (national)'!$B$5:$AQ$14,30,FALSE)="No data","x",IF(VLOOKUP($B83,'Indicator Data (national)'!$B$5:$AQ$14,30,FALSE)&gt;G$150,10,IF(VLOOKUP($B83,'Indicator Data (national)'!$B$5:$AQ$14,30,FALSE)&lt;G$149,0,(G$150-VLOOKUP($B83,'Indicator Data (national)'!$B$5:$AQ$14,30,FALSE))/(G$150-G$149)*10)))</f>
        <v>7.5</v>
      </c>
      <c r="H83" s="2">
        <f>IF(VLOOKUP($B83,'Indicator Data (national)'!$B$5:$AQ$14,29,FALSE)="No data","x",IF(VLOOKUP($B83,'Indicator Data (national)'!$B$5:$AQ$14,29,FALSE)&gt;H$150,10,IF(VLOOKUP($B83,'Indicator Data (national)'!$B$5:$AQ$14,29,FALSE)&lt;H$149,0,(H$150-VLOOKUP($B83,'Indicator Data (national)'!$B$5:$AQ$14,29,FALSE))/(H$150-H$149)*10)))</f>
        <v>5.9728583693504333</v>
      </c>
      <c r="I83" s="3">
        <f t="shared" si="23"/>
        <v>6.7364291846752167</v>
      </c>
      <c r="J83" s="5">
        <f t="shared" si="24"/>
        <v>7.4054987723622201</v>
      </c>
      <c r="K83" s="2">
        <f>IF(VLOOKUP($B83,'Indicator Data (national)'!$B$5:$AQ$14,33,FALSE)="No data","x",IF(VLOOKUP($B83,'Indicator Data (national)'!$B$5:$AQ$14,33,FALSE)&gt;K$150,10,IF(VLOOKUP($B83,'Indicator Data (national)'!$B$5:$AQ$14,33,FALSE)&lt;K$149,0,(K$150-VLOOKUP($B83,'Indicator Data (national)'!$B$5:$AQ$14,33,FALSE))/(K$150-K$149)*10)))</f>
        <v>2.2000000000000002</v>
      </c>
      <c r="L83" s="2">
        <f>IF(VLOOKUP($B83,'Indicator Data (national)'!$B$5:$AQ$14,34,FALSE)="No data","x",IF(VLOOKUP($B83,'Indicator Data (national)'!$B$5:$AQ$14,34,FALSE)&gt;L$150,10,IF(VLOOKUP($B83,'Indicator Data (national)'!$B$5:$AQ$14,34,FALSE)&lt;L$149,0,(L$150-VLOOKUP($B83,'Indicator Data (national)'!$B$5:$AQ$14,34,FALSE))/(L$150-L$149)*10)))</f>
        <v>2.8235954477835907</v>
      </c>
      <c r="M83" s="3">
        <f t="shared" si="25"/>
        <v>2.5117977238917955</v>
      </c>
      <c r="N83" s="2">
        <f>IF(VLOOKUP($B83,'Indicator Data (national)'!$B$5:$AS$14,44,FALSE)="No data","x",IF(VLOOKUP($B83,'Indicator Data (national)'!$B$5:$AS$14,44,FALSE)&gt;N$150,10,IF(VLOOKUP($B83,'Indicator Data (national)'!$B$5:$AS$14,44,FALSE)&lt;N$149,0,10-(N$150-VLOOKUP($B83,'Indicator Data (national)'!$B$5:$AS$14,44,FALSE))/(N$150-N$149)*10)))</f>
        <v>3.9000000000000004</v>
      </c>
      <c r="O83" s="2">
        <f>IF(VLOOKUP($B83,'Indicator Data (national)'!$B$5:$AS$14,42,FALSE)="No data","x",IF(VLOOKUP($B83,'Indicator Data (national)'!$B$5:$AS$14,42,FALSE)&gt;O$150,0,IF(VLOOKUP($B83,'Indicator Data (national)'!$B$5:$AS$14,42,FALSE)&lt;O$149,10,(O$150-VLOOKUP($B83,'Indicator Data (national)'!$B$5:$AS$14,42,FALSE))/(O$150-O$149)*10)))</f>
        <v>9.3507578421680311</v>
      </c>
      <c r="P83" s="158">
        <f t="shared" si="26"/>
        <v>6.6253789210840157</v>
      </c>
      <c r="Q83" s="2">
        <f>IF(VLOOKUP($B83,'Indicator Data (national)'!$B$5:$Q$14,16,FALSE)="No data","x",IF(VLOOKUP($B83,'Indicator Data (national)'!$B$5:$Q$14,16,FALSE)&gt;Q$150,0,IF(VLOOKUP($B83,'Indicator Data (national)'!$B$5:$Q$14,16,FALSE)&lt;Q$149,10,(Q$150-VLOOKUP($B83,'Indicator Data (national)'!$B$5:$Q$14,16,FALSE))/(Q$150-Q$149)*10)))</f>
        <v>8.1999999999999993</v>
      </c>
      <c r="R83" s="158">
        <f t="shared" si="27"/>
        <v>8.1999999999999993</v>
      </c>
      <c r="S83" s="3">
        <f t="shared" si="18"/>
        <v>7.4126894605420075</v>
      </c>
      <c r="T83" s="2">
        <f>IF(VLOOKUP($B83,'Indicator Data (national)'!$B$5:$BC$14,43,FALSE)="No data","x",IF(VLOOKUP($B83,'Indicator Data (national)'!$B$5:$BC$14,43,FALSE)&gt;T$150,10,IF(VLOOKUP($B83,'Indicator Data (national)'!$B$5:$BC$14,43,FALSE)&lt;T$149,0,(T$150-VLOOKUP($B83,'Indicator Data (national)'!$B$5:$BC$14,43,FALSE))/(T$150-T$149)*10)))</f>
        <v>9.8647237723687979</v>
      </c>
      <c r="U83" s="3">
        <f t="shared" si="28"/>
        <v>9.8647237723687979</v>
      </c>
      <c r="V83" s="5">
        <f t="shared" si="19"/>
        <v>6.5964036522675329</v>
      </c>
      <c r="W83" s="2">
        <f>IF(VLOOKUP($B83,'Indicator Data (national)'!$B$5:$AS$14,37,FALSE)="No data","x",IF(VLOOKUP($B83,'Indicator Data (national)'!$B$5:$AS$14,37,FALSE)&gt;W$150,10,IF(VLOOKUP($B83,'Indicator Data (national)'!$B$5:$AS$14,37,FALSE)&lt;W$149,0,(LOG(W$150)-LOG(VLOOKUP($B83,'Indicator Data (national)'!$B$5:$AS$14,37,FALSE)))/(LOG(W$150)-LOG(W$149))*10)))</f>
        <v>7.6457347942026841</v>
      </c>
      <c r="X83" s="2">
        <f>IF(VLOOKUP($B83,'Indicator Data (national)'!$B$5:$BB$14,45,FALSE)="No data","x",IF(VLOOKUP($B83,'Indicator Data (national)'!$B$5:$BB$14,45,FALSE)&gt;X$150,10,IF(VLOOKUP($B83,'Indicator Data (national)'!$B$5:$BB$14,45,FALSE)&lt;X$149,0,10-(X$150-VLOOKUP($B83,'Indicator Data (national)'!$B$5:$BB$14,45,FALSE))/(X$150-X$149)*10)))</f>
        <v>6.2222222222222223</v>
      </c>
      <c r="Y83" s="2">
        <f>IF(VLOOKUP($B83,'Indicator Data (national)'!$B$5:$BB$14,46,FALSE)="No data","x",IF(VLOOKUP($B83,'Indicator Data (national)'!$B$5:$BB$14,46,FALSE)&gt;Y$150,10,IF(VLOOKUP($B83,'Indicator Data (national)'!$B$5:$BB$14,46,FALSE)&lt;Y$149,0,(Y$150-VLOOKUP($B83,'Indicator Data (national)'!$B$5:$BB$14,46,FALSE))/(Y$150-Y$149)*10)))</f>
        <v>8</v>
      </c>
      <c r="Z83" s="156">
        <f>IF(VLOOKUP($B83,'Indicator Data (national)'!$B$5:$BB$14,48,FALSE)="No data","x",VLOOKUP($B83,'Indicator Data (national)'!$B$5:$BB$14,47,FALSE)*VLOOKUP($B83,'Indicator Data (national)'!$B$5:$BB$14,48,FALSE))</f>
        <v>9.814910769612494</v>
      </c>
      <c r="AA83" s="2">
        <f t="shared" si="29"/>
        <v>9.0185089230387501</v>
      </c>
      <c r="AB83" s="3">
        <f t="shared" si="30"/>
        <v>7.7216164848659146</v>
      </c>
      <c r="AC83" s="2">
        <f>IF(VLOOKUP($B83,'Indicator Data (national)'!$B$5:$BB$14,49,FALSE)="No data","x",IF(VLOOKUP($B83,'Indicator Data (national)'!$B$5:$BB$14,49,FALSE)&gt;AC$150,0,IF(VLOOKUP($B83,'Indicator Data (national)'!$B$5:$BB$14,49,FALSE)&lt;AC$149,10,(AC$150-VLOOKUP($B83,'Indicator Data (national)'!$B$5:$BB$14,49,FALSE))/(AC$150-AC$149)*10)))</f>
        <v>8.6440000000000001</v>
      </c>
      <c r="AD83" s="2">
        <f>IF(VLOOKUP($B83,'Indicator Data (national)'!$B$5:$BB$14,50,FALSE)="No data","x",IF(VLOOKUP($B83,'Indicator Data (national)'!$B$5:$BB$14,50,FALSE)&gt;AD$150,0,IF(VLOOKUP($B83,'Indicator Data (national)'!$B$5:$BB$14,50,FALSE)&lt;AD$149,10,(AD$150-VLOOKUP($B83,'Indicator Data (national)'!$B$5:$BB$14,50,FALSE))/(AD$150-AD$149)*10)))</f>
        <v>8.6471999999999998</v>
      </c>
      <c r="AE83" s="3">
        <f t="shared" si="31"/>
        <v>8.6456</v>
      </c>
      <c r="AF83" s="2">
        <f>IF(VLOOKUP($B83,'Indicator Data (national)'!$B$5:$BB$14,51,FALSE)="No data","x",IF(VLOOKUP($B83,'Indicator Data (national)'!$B$5:$BB$14,51,FALSE)&gt;AF$150,0,IF(VLOOKUP($B83,'Indicator Data (national)'!$B$5:$BB$14,51,FALSE)&lt;AF$149,10,(AF$150-VLOOKUP($B83,'Indicator Data (national)'!$B$5:$BB$14,51,FALSE))/(AF$150-AF$149)*10)))</f>
        <v>0</v>
      </c>
      <c r="AG83" s="2">
        <f>IF(VLOOKUP($B83,'Indicator Data (national)'!$B$5:$BB$14,52,FALSE)="No data","x",IF(VLOOKUP($B83,'Indicator Data (national)'!$B$5:$BB$14,52,FALSE)&gt;AG$150,0,IF(VLOOKUP($B83,'Indicator Data (national)'!$B$5:$BB$14,52,FALSE)&lt;AG$149,10,(AG$150-VLOOKUP($B83,'Indicator Data (national)'!$B$5:$BB$14,52,FALSE))/(AG$150-AG$149)*10)))</f>
        <v>0</v>
      </c>
      <c r="AH83" s="2">
        <f>IF(VLOOKUP($B83,'Indicator Data (national)'!$B$5:$BB$14,53,FALSE)="No data","x",IF(VLOOKUP($B83,'Indicator Data (national)'!$B$5:$BB$14,53,FALSE)&gt;AH$150,0,IF(VLOOKUP($B83,'Indicator Data (national)'!$B$5:$BB$14,53,FALSE)&lt;AH$149,10,(AH$150-VLOOKUP($B83,'Indicator Data (national)'!$B$5:$BB$14,53,FALSE))/(AH$150-AH$149)*10)))</f>
        <v>5.1780682960214941</v>
      </c>
      <c r="AI83" s="3">
        <f t="shared" si="32"/>
        <v>1.726022765340498</v>
      </c>
      <c r="AJ83" s="5">
        <f t="shared" si="20"/>
        <v>6.0310797500688045</v>
      </c>
    </row>
    <row r="84" spans="1:36" s="11" customFormat="1" x14ac:dyDescent="0.25">
      <c r="A84" s="16" t="s">
        <v>451</v>
      </c>
      <c r="B84" s="11" t="s">
        <v>576</v>
      </c>
      <c r="C84" s="126" t="s">
        <v>676</v>
      </c>
      <c r="D84" s="120">
        <f>(VLOOKUP($B84,'Indicator Data (national)'!$B$5:$AP$14,39,FALSE)+VLOOKUP($B84,'Indicator Data (national)'!$B$5:$AP$14,40,FALSE)+VLOOKUP($B84,'Indicator Data (national)'!$B$5:$AP$14,41,FALSE))/VLOOKUP($B84,'Indicator Data (national)'!$B$5:$AP$14,38,FALSE)*1000000</f>
        <v>0.3850863279901553</v>
      </c>
      <c r="E84" s="2">
        <f t="shared" si="21"/>
        <v>8.0745683600492235</v>
      </c>
      <c r="F84" s="3">
        <f t="shared" si="22"/>
        <v>8.0745683600492235</v>
      </c>
      <c r="G84" s="2">
        <f>IF(VLOOKUP($B84,'Indicator Data (national)'!$B$5:$AQ$14,30,FALSE)="No data","x",IF(VLOOKUP($B84,'Indicator Data (national)'!$B$5:$AQ$14,30,FALSE)&gt;G$150,10,IF(VLOOKUP($B84,'Indicator Data (national)'!$B$5:$AQ$14,30,FALSE)&lt;G$149,0,(G$150-VLOOKUP($B84,'Indicator Data (national)'!$B$5:$AQ$14,30,FALSE))/(G$150-G$149)*10)))</f>
        <v>7.5</v>
      </c>
      <c r="H84" s="2">
        <f>IF(VLOOKUP($B84,'Indicator Data (national)'!$B$5:$AQ$14,29,FALSE)="No data","x",IF(VLOOKUP($B84,'Indicator Data (national)'!$B$5:$AQ$14,29,FALSE)&gt;H$150,10,IF(VLOOKUP($B84,'Indicator Data (national)'!$B$5:$AQ$14,29,FALSE)&lt;H$149,0,(H$150-VLOOKUP($B84,'Indicator Data (national)'!$B$5:$AQ$14,29,FALSE))/(H$150-H$149)*10)))</f>
        <v>5.9728583693504333</v>
      </c>
      <c r="I84" s="3">
        <f t="shared" si="23"/>
        <v>6.7364291846752167</v>
      </c>
      <c r="J84" s="5">
        <f t="shared" si="24"/>
        <v>7.4054987723622201</v>
      </c>
      <c r="K84" s="2">
        <f>IF(VLOOKUP($B84,'Indicator Data (national)'!$B$5:$AQ$14,33,FALSE)="No data","x",IF(VLOOKUP($B84,'Indicator Data (national)'!$B$5:$AQ$14,33,FALSE)&gt;K$150,10,IF(VLOOKUP($B84,'Indicator Data (national)'!$B$5:$AQ$14,33,FALSE)&lt;K$149,0,(K$150-VLOOKUP($B84,'Indicator Data (national)'!$B$5:$AQ$14,33,FALSE))/(K$150-K$149)*10)))</f>
        <v>2.2000000000000002</v>
      </c>
      <c r="L84" s="2">
        <f>IF(VLOOKUP($B84,'Indicator Data (national)'!$B$5:$AQ$14,34,FALSE)="No data","x",IF(VLOOKUP($B84,'Indicator Data (national)'!$B$5:$AQ$14,34,FALSE)&gt;L$150,10,IF(VLOOKUP($B84,'Indicator Data (national)'!$B$5:$AQ$14,34,FALSE)&lt;L$149,0,(L$150-VLOOKUP($B84,'Indicator Data (national)'!$B$5:$AQ$14,34,FALSE))/(L$150-L$149)*10)))</f>
        <v>2.8235954477835907</v>
      </c>
      <c r="M84" s="3">
        <f t="shared" si="25"/>
        <v>2.5117977238917955</v>
      </c>
      <c r="N84" s="2">
        <f>IF(VLOOKUP($B84,'Indicator Data (national)'!$B$5:$AS$14,44,FALSE)="No data","x",IF(VLOOKUP($B84,'Indicator Data (national)'!$B$5:$AS$14,44,FALSE)&gt;N$150,10,IF(VLOOKUP($B84,'Indicator Data (national)'!$B$5:$AS$14,44,FALSE)&lt;N$149,0,10-(N$150-VLOOKUP($B84,'Indicator Data (national)'!$B$5:$AS$14,44,FALSE))/(N$150-N$149)*10)))</f>
        <v>3.9000000000000004</v>
      </c>
      <c r="O84" s="2">
        <f>IF(VLOOKUP($B84,'Indicator Data (national)'!$B$5:$AS$14,42,FALSE)="No data","x",IF(VLOOKUP($B84,'Indicator Data (national)'!$B$5:$AS$14,42,FALSE)&gt;O$150,0,IF(VLOOKUP($B84,'Indicator Data (national)'!$B$5:$AS$14,42,FALSE)&lt;O$149,10,(O$150-VLOOKUP($B84,'Indicator Data (national)'!$B$5:$AS$14,42,FALSE))/(O$150-O$149)*10)))</f>
        <v>9.3507578421680311</v>
      </c>
      <c r="P84" s="158">
        <f t="shared" si="26"/>
        <v>6.6253789210840157</v>
      </c>
      <c r="Q84" s="2">
        <f>IF(VLOOKUP($B84,'Indicator Data (national)'!$B$5:$Q$14,16,FALSE)="No data","x",IF(VLOOKUP($B84,'Indicator Data (national)'!$B$5:$Q$14,16,FALSE)&gt;Q$150,0,IF(VLOOKUP($B84,'Indicator Data (national)'!$B$5:$Q$14,16,FALSE)&lt;Q$149,10,(Q$150-VLOOKUP($B84,'Indicator Data (national)'!$B$5:$Q$14,16,FALSE))/(Q$150-Q$149)*10)))</f>
        <v>8.1999999999999993</v>
      </c>
      <c r="R84" s="158">
        <f t="shared" si="27"/>
        <v>8.1999999999999993</v>
      </c>
      <c r="S84" s="3">
        <f t="shared" si="18"/>
        <v>7.4126894605420075</v>
      </c>
      <c r="T84" s="2">
        <f>IF(VLOOKUP($B84,'Indicator Data (national)'!$B$5:$BC$14,43,FALSE)="No data","x",IF(VLOOKUP($B84,'Indicator Data (national)'!$B$5:$BC$14,43,FALSE)&gt;T$150,10,IF(VLOOKUP($B84,'Indicator Data (national)'!$B$5:$BC$14,43,FALSE)&lt;T$149,0,(T$150-VLOOKUP($B84,'Indicator Data (national)'!$B$5:$BC$14,43,FALSE))/(T$150-T$149)*10)))</f>
        <v>9.8647237723687979</v>
      </c>
      <c r="U84" s="3">
        <f t="shared" si="28"/>
        <v>9.8647237723687979</v>
      </c>
      <c r="V84" s="5">
        <f t="shared" si="19"/>
        <v>6.5964036522675329</v>
      </c>
      <c r="W84" s="2">
        <f>IF(VLOOKUP($B84,'Indicator Data (national)'!$B$5:$AS$14,37,FALSE)="No data","x",IF(VLOOKUP($B84,'Indicator Data (national)'!$B$5:$AS$14,37,FALSE)&gt;W$150,10,IF(VLOOKUP($B84,'Indicator Data (national)'!$B$5:$AS$14,37,FALSE)&lt;W$149,0,(LOG(W$150)-LOG(VLOOKUP($B84,'Indicator Data (national)'!$B$5:$AS$14,37,FALSE)))/(LOG(W$150)-LOG(W$149))*10)))</f>
        <v>7.6457347942026841</v>
      </c>
      <c r="X84" s="2">
        <f>IF(VLOOKUP($B84,'Indicator Data (national)'!$B$5:$BB$14,45,FALSE)="No data","x",IF(VLOOKUP($B84,'Indicator Data (national)'!$B$5:$BB$14,45,FALSE)&gt;X$150,10,IF(VLOOKUP($B84,'Indicator Data (national)'!$B$5:$BB$14,45,FALSE)&lt;X$149,0,10-(X$150-VLOOKUP($B84,'Indicator Data (national)'!$B$5:$BB$14,45,FALSE))/(X$150-X$149)*10)))</f>
        <v>6.2222222222222223</v>
      </c>
      <c r="Y84" s="2">
        <f>IF(VLOOKUP($B84,'Indicator Data (national)'!$B$5:$BB$14,46,FALSE)="No data","x",IF(VLOOKUP($B84,'Indicator Data (national)'!$B$5:$BB$14,46,FALSE)&gt;Y$150,10,IF(VLOOKUP($B84,'Indicator Data (national)'!$B$5:$BB$14,46,FALSE)&lt;Y$149,0,(Y$150-VLOOKUP($B84,'Indicator Data (national)'!$B$5:$BB$14,46,FALSE))/(Y$150-Y$149)*10)))</f>
        <v>8</v>
      </c>
      <c r="Z84" s="156">
        <f>IF(VLOOKUP($B84,'Indicator Data (national)'!$B$5:$BB$14,48,FALSE)="No data","x",VLOOKUP($B84,'Indicator Data (national)'!$B$5:$BB$14,47,FALSE)*VLOOKUP($B84,'Indicator Data (national)'!$B$5:$BB$14,48,FALSE))</f>
        <v>9.814910769612494</v>
      </c>
      <c r="AA84" s="2">
        <f t="shared" si="29"/>
        <v>9.0185089230387501</v>
      </c>
      <c r="AB84" s="3">
        <f t="shared" si="30"/>
        <v>7.7216164848659146</v>
      </c>
      <c r="AC84" s="2">
        <f>IF(VLOOKUP($B84,'Indicator Data (national)'!$B$5:$BB$14,49,FALSE)="No data","x",IF(VLOOKUP($B84,'Indicator Data (national)'!$B$5:$BB$14,49,FALSE)&gt;AC$150,0,IF(VLOOKUP($B84,'Indicator Data (national)'!$B$5:$BB$14,49,FALSE)&lt;AC$149,10,(AC$150-VLOOKUP($B84,'Indicator Data (national)'!$B$5:$BB$14,49,FALSE))/(AC$150-AC$149)*10)))</f>
        <v>8.6440000000000001</v>
      </c>
      <c r="AD84" s="2">
        <f>IF(VLOOKUP($B84,'Indicator Data (national)'!$B$5:$BB$14,50,FALSE)="No data","x",IF(VLOOKUP($B84,'Indicator Data (national)'!$B$5:$BB$14,50,FALSE)&gt;AD$150,0,IF(VLOOKUP($B84,'Indicator Data (national)'!$B$5:$BB$14,50,FALSE)&lt;AD$149,10,(AD$150-VLOOKUP($B84,'Indicator Data (national)'!$B$5:$BB$14,50,FALSE))/(AD$150-AD$149)*10)))</f>
        <v>8.6471999999999998</v>
      </c>
      <c r="AE84" s="3">
        <f t="shared" si="31"/>
        <v>8.6456</v>
      </c>
      <c r="AF84" s="2">
        <f>IF(VLOOKUP($B84,'Indicator Data (national)'!$B$5:$BB$14,51,FALSE)="No data","x",IF(VLOOKUP($B84,'Indicator Data (national)'!$B$5:$BB$14,51,FALSE)&gt;AF$150,0,IF(VLOOKUP($B84,'Indicator Data (national)'!$B$5:$BB$14,51,FALSE)&lt;AF$149,10,(AF$150-VLOOKUP($B84,'Indicator Data (national)'!$B$5:$BB$14,51,FALSE))/(AF$150-AF$149)*10)))</f>
        <v>0</v>
      </c>
      <c r="AG84" s="2">
        <f>IF(VLOOKUP($B84,'Indicator Data (national)'!$B$5:$BB$14,52,FALSE)="No data","x",IF(VLOOKUP($B84,'Indicator Data (national)'!$B$5:$BB$14,52,FALSE)&gt;AG$150,0,IF(VLOOKUP($B84,'Indicator Data (national)'!$B$5:$BB$14,52,FALSE)&lt;AG$149,10,(AG$150-VLOOKUP($B84,'Indicator Data (national)'!$B$5:$BB$14,52,FALSE))/(AG$150-AG$149)*10)))</f>
        <v>0</v>
      </c>
      <c r="AH84" s="2">
        <f>IF(VLOOKUP($B84,'Indicator Data (national)'!$B$5:$BB$14,53,FALSE)="No data","x",IF(VLOOKUP($B84,'Indicator Data (national)'!$B$5:$BB$14,53,FALSE)&gt;AH$150,0,IF(VLOOKUP($B84,'Indicator Data (national)'!$B$5:$BB$14,53,FALSE)&lt;AH$149,10,(AH$150-VLOOKUP($B84,'Indicator Data (national)'!$B$5:$BB$14,53,FALSE))/(AH$150-AH$149)*10)))</f>
        <v>5.1780682960214941</v>
      </c>
      <c r="AI84" s="3">
        <f t="shared" si="32"/>
        <v>1.726022765340498</v>
      </c>
      <c r="AJ84" s="5">
        <f t="shared" si="20"/>
        <v>6.0310797500688045</v>
      </c>
    </row>
    <row r="85" spans="1:36" s="11" customFormat="1" x14ac:dyDescent="0.25">
      <c r="A85" s="16" t="s">
        <v>452</v>
      </c>
      <c r="B85" s="11" t="s">
        <v>576</v>
      </c>
      <c r="C85" s="126" t="s">
        <v>677</v>
      </c>
      <c r="D85" s="120">
        <f>(VLOOKUP($B85,'Indicator Data (national)'!$B$5:$AP$14,39,FALSE)+VLOOKUP($B85,'Indicator Data (national)'!$B$5:$AP$14,40,FALSE)+VLOOKUP($B85,'Indicator Data (national)'!$B$5:$AP$14,41,FALSE))/VLOOKUP($B85,'Indicator Data (national)'!$B$5:$AP$14,38,FALSE)*1000000</f>
        <v>0.3850863279901553</v>
      </c>
      <c r="E85" s="2">
        <f t="shared" si="21"/>
        <v>8.0745683600492235</v>
      </c>
      <c r="F85" s="3">
        <f t="shared" si="22"/>
        <v>8.0745683600492235</v>
      </c>
      <c r="G85" s="2">
        <f>IF(VLOOKUP($B85,'Indicator Data (national)'!$B$5:$AQ$14,30,FALSE)="No data","x",IF(VLOOKUP($B85,'Indicator Data (national)'!$B$5:$AQ$14,30,FALSE)&gt;G$150,10,IF(VLOOKUP($B85,'Indicator Data (national)'!$B$5:$AQ$14,30,FALSE)&lt;G$149,0,(G$150-VLOOKUP($B85,'Indicator Data (national)'!$B$5:$AQ$14,30,FALSE))/(G$150-G$149)*10)))</f>
        <v>7.5</v>
      </c>
      <c r="H85" s="2">
        <f>IF(VLOOKUP($B85,'Indicator Data (national)'!$B$5:$AQ$14,29,FALSE)="No data","x",IF(VLOOKUP($B85,'Indicator Data (national)'!$B$5:$AQ$14,29,FALSE)&gt;H$150,10,IF(VLOOKUP($B85,'Indicator Data (national)'!$B$5:$AQ$14,29,FALSE)&lt;H$149,0,(H$150-VLOOKUP($B85,'Indicator Data (national)'!$B$5:$AQ$14,29,FALSE))/(H$150-H$149)*10)))</f>
        <v>5.9728583693504333</v>
      </c>
      <c r="I85" s="3">
        <f t="shared" si="23"/>
        <v>6.7364291846752167</v>
      </c>
      <c r="J85" s="5">
        <f t="shared" si="24"/>
        <v>7.4054987723622201</v>
      </c>
      <c r="K85" s="2">
        <f>IF(VLOOKUP($B85,'Indicator Data (national)'!$B$5:$AQ$14,33,FALSE)="No data","x",IF(VLOOKUP($B85,'Indicator Data (national)'!$B$5:$AQ$14,33,FALSE)&gt;K$150,10,IF(VLOOKUP($B85,'Indicator Data (national)'!$B$5:$AQ$14,33,FALSE)&lt;K$149,0,(K$150-VLOOKUP($B85,'Indicator Data (national)'!$B$5:$AQ$14,33,FALSE))/(K$150-K$149)*10)))</f>
        <v>2.2000000000000002</v>
      </c>
      <c r="L85" s="2">
        <f>IF(VLOOKUP($B85,'Indicator Data (national)'!$B$5:$AQ$14,34,FALSE)="No data","x",IF(VLOOKUP($B85,'Indicator Data (national)'!$B$5:$AQ$14,34,FALSE)&gt;L$150,10,IF(VLOOKUP($B85,'Indicator Data (national)'!$B$5:$AQ$14,34,FALSE)&lt;L$149,0,(L$150-VLOOKUP($B85,'Indicator Data (national)'!$B$5:$AQ$14,34,FALSE))/(L$150-L$149)*10)))</f>
        <v>2.8235954477835907</v>
      </c>
      <c r="M85" s="3">
        <f t="shared" si="25"/>
        <v>2.5117977238917955</v>
      </c>
      <c r="N85" s="2">
        <f>IF(VLOOKUP($B85,'Indicator Data (national)'!$B$5:$AS$14,44,FALSE)="No data","x",IF(VLOOKUP($B85,'Indicator Data (national)'!$B$5:$AS$14,44,FALSE)&gt;N$150,10,IF(VLOOKUP($B85,'Indicator Data (national)'!$B$5:$AS$14,44,FALSE)&lt;N$149,0,10-(N$150-VLOOKUP($B85,'Indicator Data (national)'!$B$5:$AS$14,44,FALSE))/(N$150-N$149)*10)))</f>
        <v>3.9000000000000004</v>
      </c>
      <c r="O85" s="2">
        <f>IF(VLOOKUP($B85,'Indicator Data (national)'!$B$5:$AS$14,42,FALSE)="No data","x",IF(VLOOKUP($B85,'Indicator Data (national)'!$B$5:$AS$14,42,FALSE)&gt;O$150,0,IF(VLOOKUP($B85,'Indicator Data (national)'!$B$5:$AS$14,42,FALSE)&lt;O$149,10,(O$150-VLOOKUP($B85,'Indicator Data (national)'!$B$5:$AS$14,42,FALSE))/(O$150-O$149)*10)))</f>
        <v>9.3507578421680311</v>
      </c>
      <c r="P85" s="158">
        <f t="shared" si="26"/>
        <v>6.6253789210840157</v>
      </c>
      <c r="Q85" s="2">
        <f>IF(VLOOKUP($B85,'Indicator Data (national)'!$B$5:$Q$14,16,FALSE)="No data","x",IF(VLOOKUP($B85,'Indicator Data (national)'!$B$5:$Q$14,16,FALSE)&gt;Q$150,0,IF(VLOOKUP($B85,'Indicator Data (national)'!$B$5:$Q$14,16,FALSE)&lt;Q$149,10,(Q$150-VLOOKUP($B85,'Indicator Data (national)'!$B$5:$Q$14,16,FALSE))/(Q$150-Q$149)*10)))</f>
        <v>8.1999999999999993</v>
      </c>
      <c r="R85" s="158">
        <f t="shared" si="27"/>
        <v>8.1999999999999993</v>
      </c>
      <c r="S85" s="3">
        <f t="shared" si="18"/>
        <v>7.4126894605420075</v>
      </c>
      <c r="T85" s="2">
        <f>IF(VLOOKUP($B85,'Indicator Data (national)'!$B$5:$BC$14,43,FALSE)="No data","x",IF(VLOOKUP($B85,'Indicator Data (national)'!$B$5:$BC$14,43,FALSE)&gt;T$150,10,IF(VLOOKUP($B85,'Indicator Data (national)'!$B$5:$BC$14,43,FALSE)&lt;T$149,0,(T$150-VLOOKUP($B85,'Indicator Data (national)'!$B$5:$BC$14,43,FALSE))/(T$150-T$149)*10)))</f>
        <v>9.8647237723687979</v>
      </c>
      <c r="U85" s="3">
        <f t="shared" si="28"/>
        <v>9.8647237723687979</v>
      </c>
      <c r="V85" s="5">
        <f t="shared" si="19"/>
        <v>6.5964036522675329</v>
      </c>
      <c r="W85" s="2">
        <f>IF(VLOOKUP($B85,'Indicator Data (national)'!$B$5:$AS$14,37,FALSE)="No data","x",IF(VLOOKUP($B85,'Indicator Data (national)'!$B$5:$AS$14,37,FALSE)&gt;W$150,10,IF(VLOOKUP($B85,'Indicator Data (national)'!$B$5:$AS$14,37,FALSE)&lt;W$149,0,(LOG(W$150)-LOG(VLOOKUP($B85,'Indicator Data (national)'!$B$5:$AS$14,37,FALSE)))/(LOG(W$150)-LOG(W$149))*10)))</f>
        <v>7.6457347942026841</v>
      </c>
      <c r="X85" s="2">
        <f>IF(VLOOKUP($B85,'Indicator Data (national)'!$B$5:$BB$14,45,FALSE)="No data","x",IF(VLOOKUP($B85,'Indicator Data (national)'!$B$5:$BB$14,45,FALSE)&gt;X$150,10,IF(VLOOKUP($B85,'Indicator Data (national)'!$B$5:$BB$14,45,FALSE)&lt;X$149,0,10-(X$150-VLOOKUP($B85,'Indicator Data (national)'!$B$5:$BB$14,45,FALSE))/(X$150-X$149)*10)))</f>
        <v>6.2222222222222223</v>
      </c>
      <c r="Y85" s="2">
        <f>IF(VLOOKUP($B85,'Indicator Data (national)'!$B$5:$BB$14,46,FALSE)="No data","x",IF(VLOOKUP($B85,'Indicator Data (national)'!$B$5:$BB$14,46,FALSE)&gt;Y$150,10,IF(VLOOKUP($B85,'Indicator Data (national)'!$B$5:$BB$14,46,FALSE)&lt;Y$149,0,(Y$150-VLOOKUP($B85,'Indicator Data (national)'!$B$5:$BB$14,46,FALSE))/(Y$150-Y$149)*10)))</f>
        <v>8</v>
      </c>
      <c r="Z85" s="156">
        <f>IF(VLOOKUP($B85,'Indicator Data (national)'!$B$5:$BB$14,48,FALSE)="No data","x",VLOOKUP($B85,'Indicator Data (national)'!$B$5:$BB$14,47,FALSE)*VLOOKUP($B85,'Indicator Data (national)'!$B$5:$BB$14,48,FALSE))</f>
        <v>9.814910769612494</v>
      </c>
      <c r="AA85" s="2">
        <f t="shared" si="29"/>
        <v>9.0185089230387501</v>
      </c>
      <c r="AB85" s="3">
        <f t="shared" si="30"/>
        <v>7.7216164848659146</v>
      </c>
      <c r="AC85" s="2">
        <f>IF(VLOOKUP($B85,'Indicator Data (national)'!$B$5:$BB$14,49,FALSE)="No data","x",IF(VLOOKUP($B85,'Indicator Data (national)'!$B$5:$BB$14,49,FALSE)&gt;AC$150,0,IF(VLOOKUP($B85,'Indicator Data (national)'!$B$5:$BB$14,49,FALSE)&lt;AC$149,10,(AC$150-VLOOKUP($B85,'Indicator Data (national)'!$B$5:$BB$14,49,FALSE))/(AC$150-AC$149)*10)))</f>
        <v>8.6440000000000001</v>
      </c>
      <c r="AD85" s="2">
        <f>IF(VLOOKUP($B85,'Indicator Data (national)'!$B$5:$BB$14,50,FALSE)="No data","x",IF(VLOOKUP($B85,'Indicator Data (national)'!$B$5:$BB$14,50,FALSE)&gt;AD$150,0,IF(VLOOKUP($B85,'Indicator Data (national)'!$B$5:$BB$14,50,FALSE)&lt;AD$149,10,(AD$150-VLOOKUP($B85,'Indicator Data (national)'!$B$5:$BB$14,50,FALSE))/(AD$150-AD$149)*10)))</f>
        <v>8.6471999999999998</v>
      </c>
      <c r="AE85" s="3">
        <f t="shared" si="31"/>
        <v>8.6456</v>
      </c>
      <c r="AF85" s="2">
        <f>IF(VLOOKUP($B85,'Indicator Data (national)'!$B$5:$BB$14,51,FALSE)="No data","x",IF(VLOOKUP($B85,'Indicator Data (national)'!$B$5:$BB$14,51,FALSE)&gt;AF$150,0,IF(VLOOKUP($B85,'Indicator Data (national)'!$B$5:$BB$14,51,FALSE)&lt;AF$149,10,(AF$150-VLOOKUP($B85,'Indicator Data (national)'!$B$5:$BB$14,51,FALSE))/(AF$150-AF$149)*10)))</f>
        <v>0</v>
      </c>
      <c r="AG85" s="2">
        <f>IF(VLOOKUP($B85,'Indicator Data (national)'!$B$5:$BB$14,52,FALSE)="No data","x",IF(VLOOKUP($B85,'Indicator Data (national)'!$B$5:$BB$14,52,FALSE)&gt;AG$150,0,IF(VLOOKUP($B85,'Indicator Data (national)'!$B$5:$BB$14,52,FALSE)&lt;AG$149,10,(AG$150-VLOOKUP($B85,'Indicator Data (national)'!$B$5:$BB$14,52,FALSE))/(AG$150-AG$149)*10)))</f>
        <v>0</v>
      </c>
      <c r="AH85" s="2">
        <f>IF(VLOOKUP($B85,'Indicator Data (national)'!$B$5:$BB$14,53,FALSE)="No data","x",IF(VLOOKUP($B85,'Indicator Data (national)'!$B$5:$BB$14,53,FALSE)&gt;AH$150,0,IF(VLOOKUP($B85,'Indicator Data (national)'!$B$5:$BB$14,53,FALSE)&lt;AH$149,10,(AH$150-VLOOKUP($B85,'Indicator Data (national)'!$B$5:$BB$14,53,FALSE))/(AH$150-AH$149)*10)))</f>
        <v>5.1780682960214941</v>
      </c>
      <c r="AI85" s="3">
        <f t="shared" si="32"/>
        <v>1.726022765340498</v>
      </c>
      <c r="AJ85" s="5">
        <f t="shared" si="20"/>
        <v>6.0310797500688045</v>
      </c>
    </row>
    <row r="86" spans="1:36" s="11" customFormat="1" x14ac:dyDescent="0.25">
      <c r="A86" s="16" t="s">
        <v>453</v>
      </c>
      <c r="B86" s="11" t="s">
        <v>576</v>
      </c>
      <c r="C86" s="126" t="s">
        <v>678</v>
      </c>
      <c r="D86" s="120">
        <f>(VLOOKUP($B86,'Indicator Data (national)'!$B$5:$AP$14,39,FALSE)+VLOOKUP($B86,'Indicator Data (national)'!$B$5:$AP$14,40,FALSE)+VLOOKUP($B86,'Indicator Data (national)'!$B$5:$AP$14,41,FALSE))/VLOOKUP($B86,'Indicator Data (national)'!$B$5:$AP$14,38,FALSE)*1000000</f>
        <v>0.3850863279901553</v>
      </c>
      <c r="E86" s="2">
        <f t="shared" si="21"/>
        <v>8.0745683600492235</v>
      </c>
      <c r="F86" s="3">
        <f t="shared" si="22"/>
        <v>8.0745683600492235</v>
      </c>
      <c r="G86" s="2">
        <f>IF(VLOOKUP($B86,'Indicator Data (national)'!$B$5:$AQ$14,30,FALSE)="No data","x",IF(VLOOKUP($B86,'Indicator Data (national)'!$B$5:$AQ$14,30,FALSE)&gt;G$150,10,IF(VLOOKUP($B86,'Indicator Data (national)'!$B$5:$AQ$14,30,FALSE)&lt;G$149,0,(G$150-VLOOKUP($B86,'Indicator Data (national)'!$B$5:$AQ$14,30,FALSE))/(G$150-G$149)*10)))</f>
        <v>7.5</v>
      </c>
      <c r="H86" s="2">
        <f>IF(VLOOKUP($B86,'Indicator Data (national)'!$B$5:$AQ$14,29,FALSE)="No data","x",IF(VLOOKUP($B86,'Indicator Data (national)'!$B$5:$AQ$14,29,FALSE)&gt;H$150,10,IF(VLOOKUP($B86,'Indicator Data (national)'!$B$5:$AQ$14,29,FALSE)&lt;H$149,0,(H$150-VLOOKUP($B86,'Indicator Data (national)'!$B$5:$AQ$14,29,FALSE))/(H$150-H$149)*10)))</f>
        <v>5.9728583693504333</v>
      </c>
      <c r="I86" s="3">
        <f t="shared" si="23"/>
        <v>6.7364291846752167</v>
      </c>
      <c r="J86" s="5">
        <f t="shared" si="24"/>
        <v>7.4054987723622201</v>
      </c>
      <c r="K86" s="2">
        <f>IF(VLOOKUP($B86,'Indicator Data (national)'!$B$5:$AQ$14,33,FALSE)="No data","x",IF(VLOOKUP($B86,'Indicator Data (national)'!$B$5:$AQ$14,33,FALSE)&gt;K$150,10,IF(VLOOKUP($B86,'Indicator Data (national)'!$B$5:$AQ$14,33,FALSE)&lt;K$149,0,(K$150-VLOOKUP($B86,'Indicator Data (national)'!$B$5:$AQ$14,33,FALSE))/(K$150-K$149)*10)))</f>
        <v>2.2000000000000002</v>
      </c>
      <c r="L86" s="2">
        <f>IF(VLOOKUP($B86,'Indicator Data (national)'!$B$5:$AQ$14,34,FALSE)="No data","x",IF(VLOOKUP($B86,'Indicator Data (national)'!$B$5:$AQ$14,34,FALSE)&gt;L$150,10,IF(VLOOKUP($B86,'Indicator Data (national)'!$B$5:$AQ$14,34,FALSE)&lt;L$149,0,(L$150-VLOOKUP($B86,'Indicator Data (national)'!$B$5:$AQ$14,34,FALSE))/(L$150-L$149)*10)))</f>
        <v>2.8235954477835907</v>
      </c>
      <c r="M86" s="3">
        <f t="shared" si="25"/>
        <v>2.5117977238917955</v>
      </c>
      <c r="N86" s="2">
        <f>IF(VLOOKUP($B86,'Indicator Data (national)'!$B$5:$AS$14,44,FALSE)="No data","x",IF(VLOOKUP($B86,'Indicator Data (national)'!$B$5:$AS$14,44,FALSE)&gt;N$150,10,IF(VLOOKUP($B86,'Indicator Data (national)'!$B$5:$AS$14,44,FALSE)&lt;N$149,0,10-(N$150-VLOOKUP($B86,'Indicator Data (national)'!$B$5:$AS$14,44,FALSE))/(N$150-N$149)*10)))</f>
        <v>3.9000000000000004</v>
      </c>
      <c r="O86" s="2">
        <f>IF(VLOOKUP($B86,'Indicator Data (national)'!$B$5:$AS$14,42,FALSE)="No data","x",IF(VLOOKUP($B86,'Indicator Data (national)'!$B$5:$AS$14,42,FALSE)&gt;O$150,0,IF(VLOOKUP($B86,'Indicator Data (national)'!$B$5:$AS$14,42,FALSE)&lt;O$149,10,(O$150-VLOOKUP($B86,'Indicator Data (national)'!$B$5:$AS$14,42,FALSE))/(O$150-O$149)*10)))</f>
        <v>9.3507578421680311</v>
      </c>
      <c r="P86" s="158">
        <f t="shared" si="26"/>
        <v>6.6253789210840157</v>
      </c>
      <c r="Q86" s="2">
        <f>IF(VLOOKUP($B86,'Indicator Data (national)'!$B$5:$Q$14,16,FALSE)="No data","x",IF(VLOOKUP($B86,'Indicator Data (national)'!$B$5:$Q$14,16,FALSE)&gt;Q$150,0,IF(VLOOKUP($B86,'Indicator Data (national)'!$B$5:$Q$14,16,FALSE)&lt;Q$149,10,(Q$150-VLOOKUP($B86,'Indicator Data (national)'!$B$5:$Q$14,16,FALSE))/(Q$150-Q$149)*10)))</f>
        <v>8.1999999999999993</v>
      </c>
      <c r="R86" s="158">
        <f t="shared" si="27"/>
        <v>8.1999999999999993</v>
      </c>
      <c r="S86" s="3">
        <f t="shared" si="18"/>
        <v>7.4126894605420075</v>
      </c>
      <c r="T86" s="2">
        <f>IF(VLOOKUP($B86,'Indicator Data (national)'!$B$5:$BC$14,43,FALSE)="No data","x",IF(VLOOKUP($B86,'Indicator Data (national)'!$B$5:$BC$14,43,FALSE)&gt;T$150,10,IF(VLOOKUP($B86,'Indicator Data (national)'!$B$5:$BC$14,43,FALSE)&lt;T$149,0,(T$150-VLOOKUP($B86,'Indicator Data (national)'!$B$5:$BC$14,43,FALSE))/(T$150-T$149)*10)))</f>
        <v>9.8647237723687979</v>
      </c>
      <c r="U86" s="3">
        <f t="shared" si="28"/>
        <v>9.8647237723687979</v>
      </c>
      <c r="V86" s="5">
        <f t="shared" si="19"/>
        <v>6.5964036522675329</v>
      </c>
      <c r="W86" s="2">
        <f>IF(VLOOKUP($B86,'Indicator Data (national)'!$B$5:$AS$14,37,FALSE)="No data","x",IF(VLOOKUP($B86,'Indicator Data (national)'!$B$5:$AS$14,37,FALSE)&gt;W$150,10,IF(VLOOKUP($B86,'Indicator Data (national)'!$B$5:$AS$14,37,FALSE)&lt;W$149,0,(LOG(W$150)-LOG(VLOOKUP($B86,'Indicator Data (national)'!$B$5:$AS$14,37,FALSE)))/(LOG(W$150)-LOG(W$149))*10)))</f>
        <v>7.6457347942026841</v>
      </c>
      <c r="X86" s="2">
        <f>IF(VLOOKUP($B86,'Indicator Data (national)'!$B$5:$BB$14,45,FALSE)="No data","x",IF(VLOOKUP($B86,'Indicator Data (national)'!$B$5:$BB$14,45,FALSE)&gt;X$150,10,IF(VLOOKUP($B86,'Indicator Data (national)'!$B$5:$BB$14,45,FALSE)&lt;X$149,0,10-(X$150-VLOOKUP($B86,'Indicator Data (national)'!$B$5:$BB$14,45,FALSE))/(X$150-X$149)*10)))</f>
        <v>6.2222222222222223</v>
      </c>
      <c r="Y86" s="2">
        <f>IF(VLOOKUP($B86,'Indicator Data (national)'!$B$5:$BB$14,46,FALSE)="No data","x",IF(VLOOKUP($B86,'Indicator Data (national)'!$B$5:$BB$14,46,FALSE)&gt;Y$150,10,IF(VLOOKUP($B86,'Indicator Data (national)'!$B$5:$BB$14,46,FALSE)&lt;Y$149,0,(Y$150-VLOOKUP($B86,'Indicator Data (national)'!$B$5:$BB$14,46,FALSE))/(Y$150-Y$149)*10)))</f>
        <v>8</v>
      </c>
      <c r="Z86" s="156">
        <f>IF(VLOOKUP($B86,'Indicator Data (national)'!$B$5:$BB$14,48,FALSE)="No data","x",VLOOKUP($B86,'Indicator Data (national)'!$B$5:$BB$14,47,FALSE)*VLOOKUP($B86,'Indicator Data (national)'!$B$5:$BB$14,48,FALSE))</f>
        <v>9.814910769612494</v>
      </c>
      <c r="AA86" s="2">
        <f t="shared" si="29"/>
        <v>9.0185089230387501</v>
      </c>
      <c r="AB86" s="3">
        <f t="shared" si="30"/>
        <v>7.7216164848659146</v>
      </c>
      <c r="AC86" s="2">
        <f>IF(VLOOKUP($B86,'Indicator Data (national)'!$B$5:$BB$14,49,FALSE)="No data","x",IF(VLOOKUP($B86,'Indicator Data (national)'!$B$5:$BB$14,49,FALSE)&gt;AC$150,0,IF(VLOOKUP($B86,'Indicator Data (national)'!$B$5:$BB$14,49,FALSE)&lt;AC$149,10,(AC$150-VLOOKUP($B86,'Indicator Data (national)'!$B$5:$BB$14,49,FALSE))/(AC$150-AC$149)*10)))</f>
        <v>8.6440000000000001</v>
      </c>
      <c r="AD86" s="2">
        <f>IF(VLOOKUP($B86,'Indicator Data (national)'!$B$5:$BB$14,50,FALSE)="No data","x",IF(VLOOKUP($B86,'Indicator Data (national)'!$B$5:$BB$14,50,FALSE)&gt;AD$150,0,IF(VLOOKUP($B86,'Indicator Data (national)'!$B$5:$BB$14,50,FALSE)&lt;AD$149,10,(AD$150-VLOOKUP($B86,'Indicator Data (national)'!$B$5:$BB$14,50,FALSE))/(AD$150-AD$149)*10)))</f>
        <v>8.6471999999999998</v>
      </c>
      <c r="AE86" s="3">
        <f t="shared" si="31"/>
        <v>8.6456</v>
      </c>
      <c r="AF86" s="2">
        <f>IF(VLOOKUP($B86,'Indicator Data (national)'!$B$5:$BB$14,51,FALSE)="No data","x",IF(VLOOKUP($B86,'Indicator Data (national)'!$B$5:$BB$14,51,FALSE)&gt;AF$150,0,IF(VLOOKUP($B86,'Indicator Data (national)'!$B$5:$BB$14,51,FALSE)&lt;AF$149,10,(AF$150-VLOOKUP($B86,'Indicator Data (national)'!$B$5:$BB$14,51,FALSE))/(AF$150-AF$149)*10)))</f>
        <v>0</v>
      </c>
      <c r="AG86" s="2">
        <f>IF(VLOOKUP($B86,'Indicator Data (national)'!$B$5:$BB$14,52,FALSE)="No data","x",IF(VLOOKUP($B86,'Indicator Data (national)'!$B$5:$BB$14,52,FALSE)&gt;AG$150,0,IF(VLOOKUP($B86,'Indicator Data (national)'!$B$5:$BB$14,52,FALSE)&lt;AG$149,10,(AG$150-VLOOKUP($B86,'Indicator Data (national)'!$B$5:$BB$14,52,FALSE))/(AG$150-AG$149)*10)))</f>
        <v>0</v>
      </c>
      <c r="AH86" s="2">
        <f>IF(VLOOKUP($B86,'Indicator Data (national)'!$B$5:$BB$14,53,FALSE)="No data","x",IF(VLOOKUP($B86,'Indicator Data (national)'!$B$5:$BB$14,53,FALSE)&gt;AH$150,0,IF(VLOOKUP($B86,'Indicator Data (national)'!$B$5:$BB$14,53,FALSE)&lt;AH$149,10,(AH$150-VLOOKUP($B86,'Indicator Data (national)'!$B$5:$BB$14,53,FALSE))/(AH$150-AH$149)*10)))</f>
        <v>5.1780682960214941</v>
      </c>
      <c r="AI86" s="3">
        <f t="shared" si="32"/>
        <v>1.726022765340498</v>
      </c>
      <c r="AJ86" s="5">
        <f t="shared" si="20"/>
        <v>6.0310797500688045</v>
      </c>
    </row>
    <row r="87" spans="1:36" s="11" customFormat="1" x14ac:dyDescent="0.25">
      <c r="A87" s="16" t="s">
        <v>454</v>
      </c>
      <c r="B87" s="11" t="s">
        <v>576</v>
      </c>
      <c r="C87" s="126" t="s">
        <v>679</v>
      </c>
      <c r="D87" s="120">
        <f>(VLOOKUP($B87,'Indicator Data (national)'!$B$5:$AP$14,39,FALSE)+VLOOKUP($B87,'Indicator Data (national)'!$B$5:$AP$14,40,FALSE)+VLOOKUP($B87,'Indicator Data (national)'!$B$5:$AP$14,41,FALSE))/VLOOKUP($B87,'Indicator Data (national)'!$B$5:$AP$14,38,FALSE)*1000000</f>
        <v>0.3850863279901553</v>
      </c>
      <c r="E87" s="2">
        <f t="shared" si="21"/>
        <v>8.0745683600492235</v>
      </c>
      <c r="F87" s="3">
        <f t="shared" si="22"/>
        <v>8.0745683600492235</v>
      </c>
      <c r="G87" s="2">
        <f>IF(VLOOKUP($B87,'Indicator Data (national)'!$B$5:$AQ$14,30,FALSE)="No data","x",IF(VLOOKUP($B87,'Indicator Data (national)'!$B$5:$AQ$14,30,FALSE)&gt;G$150,10,IF(VLOOKUP($B87,'Indicator Data (national)'!$B$5:$AQ$14,30,FALSE)&lt;G$149,0,(G$150-VLOOKUP($B87,'Indicator Data (national)'!$B$5:$AQ$14,30,FALSE))/(G$150-G$149)*10)))</f>
        <v>7.5</v>
      </c>
      <c r="H87" s="2">
        <f>IF(VLOOKUP($B87,'Indicator Data (national)'!$B$5:$AQ$14,29,FALSE)="No data","x",IF(VLOOKUP($B87,'Indicator Data (national)'!$B$5:$AQ$14,29,FALSE)&gt;H$150,10,IF(VLOOKUP($B87,'Indicator Data (national)'!$B$5:$AQ$14,29,FALSE)&lt;H$149,0,(H$150-VLOOKUP($B87,'Indicator Data (national)'!$B$5:$AQ$14,29,FALSE))/(H$150-H$149)*10)))</f>
        <v>5.9728583693504333</v>
      </c>
      <c r="I87" s="3">
        <f t="shared" si="23"/>
        <v>6.7364291846752167</v>
      </c>
      <c r="J87" s="5">
        <f t="shared" si="24"/>
        <v>7.4054987723622201</v>
      </c>
      <c r="K87" s="2">
        <f>IF(VLOOKUP($B87,'Indicator Data (national)'!$B$5:$AQ$14,33,FALSE)="No data","x",IF(VLOOKUP($B87,'Indicator Data (national)'!$B$5:$AQ$14,33,FALSE)&gt;K$150,10,IF(VLOOKUP($B87,'Indicator Data (national)'!$B$5:$AQ$14,33,FALSE)&lt;K$149,0,(K$150-VLOOKUP($B87,'Indicator Data (national)'!$B$5:$AQ$14,33,FALSE))/(K$150-K$149)*10)))</f>
        <v>2.2000000000000002</v>
      </c>
      <c r="L87" s="2">
        <f>IF(VLOOKUP($B87,'Indicator Data (national)'!$B$5:$AQ$14,34,FALSE)="No data","x",IF(VLOOKUP($B87,'Indicator Data (national)'!$B$5:$AQ$14,34,FALSE)&gt;L$150,10,IF(VLOOKUP($B87,'Indicator Data (national)'!$B$5:$AQ$14,34,FALSE)&lt;L$149,0,(L$150-VLOOKUP($B87,'Indicator Data (national)'!$B$5:$AQ$14,34,FALSE))/(L$150-L$149)*10)))</f>
        <v>2.8235954477835907</v>
      </c>
      <c r="M87" s="3">
        <f t="shared" si="25"/>
        <v>2.5117977238917955</v>
      </c>
      <c r="N87" s="2">
        <f>IF(VLOOKUP($B87,'Indicator Data (national)'!$B$5:$AS$14,44,FALSE)="No data","x",IF(VLOOKUP($B87,'Indicator Data (national)'!$B$5:$AS$14,44,FALSE)&gt;N$150,10,IF(VLOOKUP($B87,'Indicator Data (national)'!$B$5:$AS$14,44,FALSE)&lt;N$149,0,10-(N$150-VLOOKUP($B87,'Indicator Data (national)'!$B$5:$AS$14,44,FALSE))/(N$150-N$149)*10)))</f>
        <v>3.9000000000000004</v>
      </c>
      <c r="O87" s="2">
        <f>IF(VLOOKUP($B87,'Indicator Data (national)'!$B$5:$AS$14,42,FALSE)="No data","x",IF(VLOOKUP($B87,'Indicator Data (national)'!$B$5:$AS$14,42,FALSE)&gt;O$150,0,IF(VLOOKUP($B87,'Indicator Data (national)'!$B$5:$AS$14,42,FALSE)&lt;O$149,10,(O$150-VLOOKUP($B87,'Indicator Data (national)'!$B$5:$AS$14,42,FALSE))/(O$150-O$149)*10)))</f>
        <v>9.3507578421680311</v>
      </c>
      <c r="P87" s="158">
        <f t="shared" si="26"/>
        <v>6.6253789210840157</v>
      </c>
      <c r="Q87" s="2">
        <f>IF(VLOOKUP($B87,'Indicator Data (national)'!$B$5:$Q$14,16,FALSE)="No data","x",IF(VLOOKUP($B87,'Indicator Data (national)'!$B$5:$Q$14,16,FALSE)&gt;Q$150,0,IF(VLOOKUP($B87,'Indicator Data (national)'!$B$5:$Q$14,16,FALSE)&lt;Q$149,10,(Q$150-VLOOKUP($B87,'Indicator Data (national)'!$B$5:$Q$14,16,FALSE))/(Q$150-Q$149)*10)))</f>
        <v>8.1999999999999993</v>
      </c>
      <c r="R87" s="158">
        <f t="shared" si="27"/>
        <v>8.1999999999999993</v>
      </c>
      <c r="S87" s="3">
        <f t="shared" si="18"/>
        <v>7.4126894605420075</v>
      </c>
      <c r="T87" s="2">
        <f>IF(VLOOKUP($B87,'Indicator Data (national)'!$B$5:$BC$14,43,FALSE)="No data","x",IF(VLOOKUP($B87,'Indicator Data (national)'!$B$5:$BC$14,43,FALSE)&gt;T$150,10,IF(VLOOKUP($B87,'Indicator Data (national)'!$B$5:$BC$14,43,FALSE)&lt;T$149,0,(T$150-VLOOKUP($B87,'Indicator Data (national)'!$B$5:$BC$14,43,FALSE))/(T$150-T$149)*10)))</f>
        <v>9.8647237723687979</v>
      </c>
      <c r="U87" s="3">
        <f t="shared" si="28"/>
        <v>9.8647237723687979</v>
      </c>
      <c r="V87" s="5">
        <f t="shared" si="19"/>
        <v>6.5964036522675329</v>
      </c>
      <c r="W87" s="2">
        <f>IF(VLOOKUP($B87,'Indicator Data (national)'!$B$5:$AS$14,37,FALSE)="No data","x",IF(VLOOKUP($B87,'Indicator Data (national)'!$B$5:$AS$14,37,FALSE)&gt;W$150,10,IF(VLOOKUP($B87,'Indicator Data (national)'!$B$5:$AS$14,37,FALSE)&lt;W$149,0,(LOG(W$150)-LOG(VLOOKUP($B87,'Indicator Data (national)'!$B$5:$AS$14,37,FALSE)))/(LOG(W$150)-LOG(W$149))*10)))</f>
        <v>7.6457347942026841</v>
      </c>
      <c r="X87" s="2">
        <f>IF(VLOOKUP($B87,'Indicator Data (national)'!$B$5:$BB$14,45,FALSE)="No data","x",IF(VLOOKUP($B87,'Indicator Data (national)'!$B$5:$BB$14,45,FALSE)&gt;X$150,10,IF(VLOOKUP($B87,'Indicator Data (national)'!$B$5:$BB$14,45,FALSE)&lt;X$149,0,10-(X$150-VLOOKUP($B87,'Indicator Data (national)'!$B$5:$BB$14,45,FALSE))/(X$150-X$149)*10)))</f>
        <v>6.2222222222222223</v>
      </c>
      <c r="Y87" s="2">
        <f>IF(VLOOKUP($B87,'Indicator Data (national)'!$B$5:$BB$14,46,FALSE)="No data","x",IF(VLOOKUP($B87,'Indicator Data (national)'!$B$5:$BB$14,46,FALSE)&gt;Y$150,10,IF(VLOOKUP($B87,'Indicator Data (national)'!$B$5:$BB$14,46,FALSE)&lt;Y$149,0,(Y$150-VLOOKUP($B87,'Indicator Data (national)'!$B$5:$BB$14,46,FALSE))/(Y$150-Y$149)*10)))</f>
        <v>8</v>
      </c>
      <c r="Z87" s="156">
        <f>IF(VLOOKUP($B87,'Indicator Data (national)'!$B$5:$BB$14,48,FALSE)="No data","x",VLOOKUP($B87,'Indicator Data (national)'!$B$5:$BB$14,47,FALSE)*VLOOKUP($B87,'Indicator Data (national)'!$B$5:$BB$14,48,FALSE))</f>
        <v>9.814910769612494</v>
      </c>
      <c r="AA87" s="2">
        <f t="shared" si="29"/>
        <v>9.0185089230387501</v>
      </c>
      <c r="AB87" s="3">
        <f t="shared" si="30"/>
        <v>7.7216164848659146</v>
      </c>
      <c r="AC87" s="2">
        <f>IF(VLOOKUP($B87,'Indicator Data (national)'!$B$5:$BB$14,49,FALSE)="No data","x",IF(VLOOKUP($B87,'Indicator Data (national)'!$B$5:$BB$14,49,FALSE)&gt;AC$150,0,IF(VLOOKUP($B87,'Indicator Data (national)'!$B$5:$BB$14,49,FALSE)&lt;AC$149,10,(AC$150-VLOOKUP($B87,'Indicator Data (national)'!$B$5:$BB$14,49,FALSE))/(AC$150-AC$149)*10)))</f>
        <v>8.6440000000000001</v>
      </c>
      <c r="AD87" s="2">
        <f>IF(VLOOKUP($B87,'Indicator Data (national)'!$B$5:$BB$14,50,FALSE)="No data","x",IF(VLOOKUP($B87,'Indicator Data (national)'!$B$5:$BB$14,50,FALSE)&gt;AD$150,0,IF(VLOOKUP($B87,'Indicator Data (national)'!$B$5:$BB$14,50,FALSE)&lt;AD$149,10,(AD$150-VLOOKUP($B87,'Indicator Data (national)'!$B$5:$BB$14,50,FALSE))/(AD$150-AD$149)*10)))</f>
        <v>8.6471999999999998</v>
      </c>
      <c r="AE87" s="3">
        <f t="shared" si="31"/>
        <v>8.6456</v>
      </c>
      <c r="AF87" s="2">
        <f>IF(VLOOKUP($B87,'Indicator Data (national)'!$B$5:$BB$14,51,FALSE)="No data","x",IF(VLOOKUP($B87,'Indicator Data (national)'!$B$5:$BB$14,51,FALSE)&gt;AF$150,0,IF(VLOOKUP($B87,'Indicator Data (national)'!$B$5:$BB$14,51,FALSE)&lt;AF$149,10,(AF$150-VLOOKUP($B87,'Indicator Data (national)'!$B$5:$BB$14,51,FALSE))/(AF$150-AF$149)*10)))</f>
        <v>0</v>
      </c>
      <c r="AG87" s="2">
        <f>IF(VLOOKUP($B87,'Indicator Data (national)'!$B$5:$BB$14,52,FALSE)="No data","x",IF(VLOOKUP($B87,'Indicator Data (national)'!$B$5:$BB$14,52,FALSE)&gt;AG$150,0,IF(VLOOKUP($B87,'Indicator Data (national)'!$B$5:$BB$14,52,FALSE)&lt;AG$149,10,(AG$150-VLOOKUP($B87,'Indicator Data (national)'!$B$5:$BB$14,52,FALSE))/(AG$150-AG$149)*10)))</f>
        <v>0</v>
      </c>
      <c r="AH87" s="2">
        <f>IF(VLOOKUP($B87,'Indicator Data (national)'!$B$5:$BB$14,53,FALSE)="No data","x",IF(VLOOKUP($B87,'Indicator Data (national)'!$B$5:$BB$14,53,FALSE)&gt;AH$150,0,IF(VLOOKUP($B87,'Indicator Data (national)'!$B$5:$BB$14,53,FALSE)&lt;AH$149,10,(AH$150-VLOOKUP($B87,'Indicator Data (national)'!$B$5:$BB$14,53,FALSE))/(AH$150-AH$149)*10)))</f>
        <v>5.1780682960214941</v>
      </c>
      <c r="AI87" s="3">
        <f t="shared" si="32"/>
        <v>1.726022765340498</v>
      </c>
      <c r="AJ87" s="5">
        <f t="shared" si="20"/>
        <v>6.0310797500688045</v>
      </c>
    </row>
    <row r="88" spans="1:36" s="11" customFormat="1" x14ac:dyDescent="0.25">
      <c r="A88" s="16" t="s">
        <v>455</v>
      </c>
      <c r="B88" s="11" t="s">
        <v>576</v>
      </c>
      <c r="C88" s="126" t="s">
        <v>680</v>
      </c>
      <c r="D88" s="120">
        <f>(VLOOKUP($B88,'Indicator Data (national)'!$B$5:$AP$14,39,FALSE)+VLOOKUP($B88,'Indicator Data (national)'!$B$5:$AP$14,40,FALSE)+VLOOKUP($B88,'Indicator Data (national)'!$B$5:$AP$14,41,FALSE))/VLOOKUP($B88,'Indicator Data (national)'!$B$5:$AP$14,38,FALSE)*1000000</f>
        <v>0.3850863279901553</v>
      </c>
      <c r="E88" s="2">
        <f t="shared" si="21"/>
        <v>8.0745683600492235</v>
      </c>
      <c r="F88" s="3">
        <f t="shared" si="22"/>
        <v>8.0745683600492235</v>
      </c>
      <c r="G88" s="2">
        <f>IF(VLOOKUP($B88,'Indicator Data (national)'!$B$5:$AQ$14,30,FALSE)="No data","x",IF(VLOOKUP($B88,'Indicator Data (national)'!$B$5:$AQ$14,30,FALSE)&gt;G$150,10,IF(VLOOKUP($B88,'Indicator Data (national)'!$B$5:$AQ$14,30,FALSE)&lt;G$149,0,(G$150-VLOOKUP($B88,'Indicator Data (national)'!$B$5:$AQ$14,30,FALSE))/(G$150-G$149)*10)))</f>
        <v>7.5</v>
      </c>
      <c r="H88" s="2">
        <f>IF(VLOOKUP($B88,'Indicator Data (national)'!$B$5:$AQ$14,29,FALSE)="No data","x",IF(VLOOKUP($B88,'Indicator Data (national)'!$B$5:$AQ$14,29,FALSE)&gt;H$150,10,IF(VLOOKUP($B88,'Indicator Data (national)'!$B$5:$AQ$14,29,FALSE)&lt;H$149,0,(H$150-VLOOKUP($B88,'Indicator Data (national)'!$B$5:$AQ$14,29,FALSE))/(H$150-H$149)*10)))</f>
        <v>5.9728583693504333</v>
      </c>
      <c r="I88" s="3">
        <f t="shared" si="23"/>
        <v>6.7364291846752167</v>
      </c>
      <c r="J88" s="5">
        <f t="shared" si="24"/>
        <v>7.4054987723622201</v>
      </c>
      <c r="K88" s="2">
        <f>IF(VLOOKUP($B88,'Indicator Data (national)'!$B$5:$AQ$14,33,FALSE)="No data","x",IF(VLOOKUP($B88,'Indicator Data (national)'!$B$5:$AQ$14,33,FALSE)&gt;K$150,10,IF(VLOOKUP($B88,'Indicator Data (national)'!$B$5:$AQ$14,33,FALSE)&lt;K$149,0,(K$150-VLOOKUP($B88,'Indicator Data (national)'!$B$5:$AQ$14,33,FALSE))/(K$150-K$149)*10)))</f>
        <v>2.2000000000000002</v>
      </c>
      <c r="L88" s="2">
        <f>IF(VLOOKUP($B88,'Indicator Data (national)'!$B$5:$AQ$14,34,FALSE)="No data","x",IF(VLOOKUP($B88,'Indicator Data (national)'!$B$5:$AQ$14,34,FALSE)&gt;L$150,10,IF(VLOOKUP($B88,'Indicator Data (national)'!$B$5:$AQ$14,34,FALSE)&lt;L$149,0,(L$150-VLOOKUP($B88,'Indicator Data (national)'!$B$5:$AQ$14,34,FALSE))/(L$150-L$149)*10)))</f>
        <v>2.8235954477835907</v>
      </c>
      <c r="M88" s="3">
        <f t="shared" si="25"/>
        <v>2.5117977238917955</v>
      </c>
      <c r="N88" s="2">
        <f>IF(VLOOKUP($B88,'Indicator Data (national)'!$B$5:$AS$14,44,FALSE)="No data","x",IF(VLOOKUP($B88,'Indicator Data (national)'!$B$5:$AS$14,44,FALSE)&gt;N$150,10,IF(VLOOKUP($B88,'Indicator Data (national)'!$B$5:$AS$14,44,FALSE)&lt;N$149,0,10-(N$150-VLOOKUP($B88,'Indicator Data (national)'!$B$5:$AS$14,44,FALSE))/(N$150-N$149)*10)))</f>
        <v>3.9000000000000004</v>
      </c>
      <c r="O88" s="2">
        <f>IF(VLOOKUP($B88,'Indicator Data (national)'!$B$5:$AS$14,42,FALSE)="No data","x",IF(VLOOKUP($B88,'Indicator Data (national)'!$B$5:$AS$14,42,FALSE)&gt;O$150,0,IF(VLOOKUP($B88,'Indicator Data (national)'!$B$5:$AS$14,42,FALSE)&lt;O$149,10,(O$150-VLOOKUP($B88,'Indicator Data (national)'!$B$5:$AS$14,42,FALSE))/(O$150-O$149)*10)))</f>
        <v>9.3507578421680311</v>
      </c>
      <c r="P88" s="158">
        <f t="shared" si="26"/>
        <v>6.6253789210840157</v>
      </c>
      <c r="Q88" s="2">
        <f>IF(VLOOKUP($B88,'Indicator Data (national)'!$B$5:$Q$14,16,FALSE)="No data","x",IF(VLOOKUP($B88,'Indicator Data (national)'!$B$5:$Q$14,16,FALSE)&gt;Q$150,0,IF(VLOOKUP($B88,'Indicator Data (national)'!$B$5:$Q$14,16,FALSE)&lt;Q$149,10,(Q$150-VLOOKUP($B88,'Indicator Data (national)'!$B$5:$Q$14,16,FALSE))/(Q$150-Q$149)*10)))</f>
        <v>8.1999999999999993</v>
      </c>
      <c r="R88" s="158">
        <f t="shared" si="27"/>
        <v>8.1999999999999993</v>
      </c>
      <c r="S88" s="3">
        <f t="shared" si="18"/>
        <v>7.4126894605420075</v>
      </c>
      <c r="T88" s="2">
        <f>IF(VLOOKUP($B88,'Indicator Data (national)'!$B$5:$BC$14,43,FALSE)="No data","x",IF(VLOOKUP($B88,'Indicator Data (national)'!$B$5:$BC$14,43,FALSE)&gt;T$150,10,IF(VLOOKUP($B88,'Indicator Data (national)'!$B$5:$BC$14,43,FALSE)&lt;T$149,0,(T$150-VLOOKUP($B88,'Indicator Data (national)'!$B$5:$BC$14,43,FALSE))/(T$150-T$149)*10)))</f>
        <v>9.8647237723687979</v>
      </c>
      <c r="U88" s="3">
        <f t="shared" si="28"/>
        <v>9.8647237723687979</v>
      </c>
      <c r="V88" s="5">
        <f t="shared" si="19"/>
        <v>6.5964036522675329</v>
      </c>
      <c r="W88" s="2">
        <f>IF(VLOOKUP($B88,'Indicator Data (national)'!$B$5:$AS$14,37,FALSE)="No data","x",IF(VLOOKUP($B88,'Indicator Data (national)'!$B$5:$AS$14,37,FALSE)&gt;W$150,10,IF(VLOOKUP($B88,'Indicator Data (national)'!$B$5:$AS$14,37,FALSE)&lt;W$149,0,(LOG(W$150)-LOG(VLOOKUP($B88,'Indicator Data (national)'!$B$5:$AS$14,37,FALSE)))/(LOG(W$150)-LOG(W$149))*10)))</f>
        <v>7.6457347942026841</v>
      </c>
      <c r="X88" s="2">
        <f>IF(VLOOKUP($B88,'Indicator Data (national)'!$B$5:$BB$14,45,FALSE)="No data","x",IF(VLOOKUP($B88,'Indicator Data (national)'!$B$5:$BB$14,45,FALSE)&gt;X$150,10,IF(VLOOKUP($B88,'Indicator Data (national)'!$B$5:$BB$14,45,FALSE)&lt;X$149,0,10-(X$150-VLOOKUP($B88,'Indicator Data (national)'!$B$5:$BB$14,45,FALSE))/(X$150-X$149)*10)))</f>
        <v>6.2222222222222223</v>
      </c>
      <c r="Y88" s="2">
        <f>IF(VLOOKUP($B88,'Indicator Data (national)'!$B$5:$BB$14,46,FALSE)="No data","x",IF(VLOOKUP($B88,'Indicator Data (national)'!$B$5:$BB$14,46,FALSE)&gt;Y$150,10,IF(VLOOKUP($B88,'Indicator Data (national)'!$B$5:$BB$14,46,FALSE)&lt;Y$149,0,(Y$150-VLOOKUP($B88,'Indicator Data (national)'!$B$5:$BB$14,46,FALSE))/(Y$150-Y$149)*10)))</f>
        <v>8</v>
      </c>
      <c r="Z88" s="156">
        <f>IF(VLOOKUP($B88,'Indicator Data (national)'!$B$5:$BB$14,48,FALSE)="No data","x",VLOOKUP($B88,'Indicator Data (national)'!$B$5:$BB$14,47,FALSE)*VLOOKUP($B88,'Indicator Data (national)'!$B$5:$BB$14,48,FALSE))</f>
        <v>9.814910769612494</v>
      </c>
      <c r="AA88" s="2">
        <f t="shared" si="29"/>
        <v>9.0185089230387501</v>
      </c>
      <c r="AB88" s="3">
        <f t="shared" si="30"/>
        <v>7.7216164848659146</v>
      </c>
      <c r="AC88" s="2">
        <f>IF(VLOOKUP($B88,'Indicator Data (national)'!$B$5:$BB$14,49,FALSE)="No data","x",IF(VLOOKUP($B88,'Indicator Data (national)'!$B$5:$BB$14,49,FALSE)&gt;AC$150,0,IF(VLOOKUP($B88,'Indicator Data (national)'!$B$5:$BB$14,49,FALSE)&lt;AC$149,10,(AC$150-VLOOKUP($B88,'Indicator Data (national)'!$B$5:$BB$14,49,FALSE))/(AC$150-AC$149)*10)))</f>
        <v>8.6440000000000001</v>
      </c>
      <c r="AD88" s="2">
        <f>IF(VLOOKUP($B88,'Indicator Data (national)'!$B$5:$BB$14,50,FALSE)="No data","x",IF(VLOOKUP($B88,'Indicator Data (national)'!$B$5:$BB$14,50,FALSE)&gt;AD$150,0,IF(VLOOKUP($B88,'Indicator Data (national)'!$B$5:$BB$14,50,FALSE)&lt;AD$149,10,(AD$150-VLOOKUP($B88,'Indicator Data (national)'!$B$5:$BB$14,50,FALSE))/(AD$150-AD$149)*10)))</f>
        <v>8.6471999999999998</v>
      </c>
      <c r="AE88" s="3">
        <f t="shared" si="31"/>
        <v>8.6456</v>
      </c>
      <c r="AF88" s="2">
        <f>IF(VLOOKUP($B88,'Indicator Data (national)'!$B$5:$BB$14,51,FALSE)="No data","x",IF(VLOOKUP($B88,'Indicator Data (national)'!$B$5:$BB$14,51,FALSE)&gt;AF$150,0,IF(VLOOKUP($B88,'Indicator Data (national)'!$B$5:$BB$14,51,FALSE)&lt;AF$149,10,(AF$150-VLOOKUP($B88,'Indicator Data (national)'!$B$5:$BB$14,51,FALSE))/(AF$150-AF$149)*10)))</f>
        <v>0</v>
      </c>
      <c r="AG88" s="2">
        <f>IF(VLOOKUP($B88,'Indicator Data (national)'!$B$5:$BB$14,52,FALSE)="No data","x",IF(VLOOKUP($B88,'Indicator Data (national)'!$B$5:$BB$14,52,FALSE)&gt;AG$150,0,IF(VLOOKUP($B88,'Indicator Data (national)'!$B$5:$BB$14,52,FALSE)&lt;AG$149,10,(AG$150-VLOOKUP($B88,'Indicator Data (national)'!$B$5:$BB$14,52,FALSE))/(AG$150-AG$149)*10)))</f>
        <v>0</v>
      </c>
      <c r="AH88" s="2">
        <f>IF(VLOOKUP($B88,'Indicator Data (national)'!$B$5:$BB$14,53,FALSE)="No data","x",IF(VLOOKUP($B88,'Indicator Data (national)'!$B$5:$BB$14,53,FALSE)&gt;AH$150,0,IF(VLOOKUP($B88,'Indicator Data (national)'!$B$5:$BB$14,53,FALSE)&lt;AH$149,10,(AH$150-VLOOKUP($B88,'Indicator Data (national)'!$B$5:$BB$14,53,FALSE))/(AH$150-AH$149)*10)))</f>
        <v>5.1780682960214941</v>
      </c>
      <c r="AI88" s="3">
        <f t="shared" si="32"/>
        <v>1.726022765340498</v>
      </c>
      <c r="AJ88" s="5">
        <f t="shared" si="20"/>
        <v>6.0310797500688045</v>
      </c>
    </row>
    <row r="89" spans="1:36" s="11" customFormat="1" x14ac:dyDescent="0.25">
      <c r="A89" s="16" t="s">
        <v>457</v>
      </c>
      <c r="B89" s="11" t="s">
        <v>577</v>
      </c>
      <c r="C89" s="126" t="s">
        <v>458</v>
      </c>
      <c r="D89" s="120">
        <f>(VLOOKUP($B89,'Indicator Data (national)'!$B$5:$AP$14,39,FALSE)+VLOOKUP($B89,'Indicator Data (national)'!$B$5:$AP$14,40,FALSE)+VLOOKUP($B89,'Indicator Data (national)'!$B$5:$AP$14,41,FALSE))/VLOOKUP($B89,'Indicator Data (national)'!$B$5:$AP$14,38,FALSE)*1000000</f>
        <v>5.9440299945943305E-2</v>
      </c>
      <c r="E89" s="2">
        <f t="shared" si="21"/>
        <v>9.7027985002702835</v>
      </c>
      <c r="F89" s="3">
        <f t="shared" si="22"/>
        <v>9.7027985002702835</v>
      </c>
      <c r="G89" s="2">
        <f>IF(VLOOKUP($B89,'Indicator Data (national)'!$B$5:$AQ$14,30,FALSE)="No data","x",IF(VLOOKUP($B89,'Indicator Data (national)'!$B$5:$AQ$14,30,FALSE)&gt;G$150,10,IF(VLOOKUP($B89,'Indicator Data (national)'!$B$5:$AQ$14,30,FALSE)&lt;G$149,0,(G$150-VLOOKUP($B89,'Indicator Data (national)'!$B$5:$AQ$14,30,FALSE))/(G$150-G$149)*10)))</f>
        <v>5.0999999999999996</v>
      </c>
      <c r="H89" s="2">
        <f>IF(VLOOKUP($B89,'Indicator Data (national)'!$B$5:$AQ$14,29,FALSE)="No data","x",IF(VLOOKUP($B89,'Indicator Data (national)'!$B$5:$AQ$14,29,FALSE)&gt;H$150,10,IF(VLOOKUP($B89,'Indicator Data (national)'!$B$5:$AQ$14,29,FALSE)&lt;H$149,0,(H$150-VLOOKUP($B89,'Indicator Data (national)'!$B$5:$AQ$14,29,FALSE))/(H$150-H$149)*10)))</f>
        <v>5.0001042732474161</v>
      </c>
      <c r="I89" s="3">
        <f t="shared" si="23"/>
        <v>5.0500521366237079</v>
      </c>
      <c r="J89" s="5">
        <f t="shared" si="24"/>
        <v>7.3764253184469961</v>
      </c>
      <c r="K89" s="2">
        <f>IF(VLOOKUP($B89,'Indicator Data (national)'!$B$5:$AQ$14,33,FALSE)="No data","x",IF(VLOOKUP($B89,'Indicator Data (national)'!$B$5:$AQ$14,33,FALSE)&gt;K$150,10,IF(VLOOKUP($B89,'Indicator Data (national)'!$B$5:$AQ$14,33,FALSE)&lt;K$149,0,(K$150-VLOOKUP($B89,'Indicator Data (national)'!$B$5:$AQ$14,33,FALSE))/(K$150-K$149)*10)))</f>
        <v>8.26</v>
      </c>
      <c r="L89" s="2">
        <f>IF(VLOOKUP($B89,'Indicator Data (national)'!$B$5:$AQ$14,34,FALSE)="No data","x",IF(VLOOKUP($B89,'Indicator Data (national)'!$B$5:$AQ$14,34,FALSE)&gt;L$150,10,IF(VLOOKUP($B89,'Indicator Data (national)'!$B$5:$AQ$14,34,FALSE)&lt;L$149,0,(L$150-VLOOKUP($B89,'Indicator Data (national)'!$B$5:$AQ$14,34,FALSE))/(L$150-L$149)*10)))</f>
        <v>4.3199206013456299</v>
      </c>
      <c r="M89" s="3">
        <f t="shared" si="25"/>
        <v>6.2899603006728153</v>
      </c>
      <c r="N89" s="2">
        <f>IF(VLOOKUP($B89,'Indicator Data (national)'!$B$5:$AS$14,44,FALSE)="No data","x",IF(VLOOKUP($B89,'Indicator Data (national)'!$B$5:$AS$14,44,FALSE)&gt;N$150,10,IF(VLOOKUP($B89,'Indicator Data (national)'!$B$5:$AS$14,44,FALSE)&lt;N$149,0,10-(N$150-VLOOKUP($B89,'Indicator Data (national)'!$B$5:$AS$14,44,FALSE))/(N$150-N$149)*10)))</f>
        <v>6.1</v>
      </c>
      <c r="O89" s="2">
        <f>IF(VLOOKUP($B89,'Indicator Data (national)'!$B$5:$AS$14,42,FALSE)="No data","x",IF(VLOOKUP($B89,'Indicator Data (national)'!$B$5:$AS$14,42,FALSE)&gt;O$150,0,IF(VLOOKUP($B89,'Indicator Data (national)'!$B$5:$AS$14,42,FALSE)&lt;O$149,10,(O$150-VLOOKUP($B89,'Indicator Data (national)'!$B$5:$AS$14,42,FALSE))/(O$150-O$149)*10)))</f>
        <v>6.5100671140939594</v>
      </c>
      <c r="P89" s="158">
        <f t="shared" si="26"/>
        <v>6.3050335570469791</v>
      </c>
      <c r="Q89" s="2">
        <f>IF(VLOOKUP($B89,'Indicator Data (national)'!$B$5:$Q$14,16,FALSE)="No data","x",IF(VLOOKUP($B89,'Indicator Data (national)'!$B$5:$Q$14,16,FALSE)&gt;Q$150,0,IF(VLOOKUP($B89,'Indicator Data (national)'!$B$5:$Q$14,16,FALSE)&lt;Q$149,10,(Q$150-VLOOKUP($B89,'Indicator Data (national)'!$B$5:$Q$14,16,FALSE))/(Q$150-Q$149)*10)))</f>
        <v>9.4</v>
      </c>
      <c r="R89" s="158">
        <f t="shared" si="27"/>
        <v>9.4</v>
      </c>
      <c r="S89" s="3">
        <f t="shared" si="18"/>
        <v>7.8525167785234897</v>
      </c>
      <c r="T89" s="2" t="str">
        <f>IF(VLOOKUP($B89,'Indicator Data (national)'!$B$5:$BC$14,43,FALSE)="No data","x",IF(VLOOKUP($B89,'Indicator Data (national)'!$B$5:$BC$14,43,FALSE)&gt;T$150,10,IF(VLOOKUP($B89,'Indicator Data (national)'!$B$5:$BC$14,43,FALSE)&lt;T$149,0,(T$150-VLOOKUP($B89,'Indicator Data (national)'!$B$5:$BC$14,43,FALSE))/(T$150-T$149)*10)))</f>
        <v>x</v>
      </c>
      <c r="U89" s="3" t="str">
        <f t="shared" si="28"/>
        <v>x</v>
      </c>
      <c r="V89" s="5">
        <f t="shared" si="19"/>
        <v>7.0712385395981521</v>
      </c>
      <c r="W89" s="2">
        <f>IF(VLOOKUP($B89,'Indicator Data (national)'!$B$5:$AS$14,37,FALSE)="No data","x",IF(VLOOKUP($B89,'Indicator Data (national)'!$B$5:$AS$14,37,FALSE)&gt;W$150,10,IF(VLOOKUP($B89,'Indicator Data (national)'!$B$5:$AS$14,37,FALSE)&lt;W$149,0,(LOG(W$150)-LOG(VLOOKUP($B89,'Indicator Data (national)'!$B$5:$AS$14,37,FALSE)))/(LOG(W$150)-LOG(W$149))*10)))</f>
        <v>8.1474033834563162</v>
      </c>
      <c r="X89" s="2">
        <f>IF(VLOOKUP($B89,'Indicator Data (national)'!$B$5:$BB$14,45,FALSE)="No data","x",IF(VLOOKUP($B89,'Indicator Data (national)'!$B$5:$BB$14,45,FALSE)&gt;X$150,10,IF(VLOOKUP($B89,'Indicator Data (national)'!$B$5:$BB$14,45,FALSE)&lt;X$149,0,10-(X$150-VLOOKUP($B89,'Indicator Data (national)'!$B$5:$BB$14,45,FALSE))/(X$150-X$149)*10)))</f>
        <v>2</v>
      </c>
      <c r="Y89" s="2">
        <f>IF(VLOOKUP($B89,'Indicator Data (national)'!$B$5:$BB$14,46,FALSE)="No data","x",IF(VLOOKUP($B89,'Indicator Data (national)'!$B$5:$BB$14,46,FALSE)&gt;Y$150,10,IF(VLOOKUP($B89,'Indicator Data (national)'!$B$5:$BB$14,46,FALSE)&lt;Y$149,0,(Y$150-VLOOKUP($B89,'Indicator Data (national)'!$B$5:$BB$14,46,FALSE))/(Y$150-Y$149)*10)))</f>
        <v>1.4000000000000001</v>
      </c>
      <c r="Z89" s="156">
        <f>IF(VLOOKUP($B89,'Indicator Data (national)'!$B$5:$BB$14,48,FALSE)="No data","x",VLOOKUP($B89,'Indicator Data (national)'!$B$5:$BB$14,47,FALSE)*VLOOKUP($B89,'Indicator Data (national)'!$B$5:$BB$14,48,FALSE))</f>
        <v>7.9915185455543929</v>
      </c>
      <c r="AA89" s="2">
        <f t="shared" si="29"/>
        <v>9.2008481454445601</v>
      </c>
      <c r="AB89" s="3">
        <f t="shared" si="30"/>
        <v>5.1870628822252192</v>
      </c>
      <c r="AC89" s="2">
        <f>IF(VLOOKUP($B89,'Indicator Data (national)'!$B$5:$BB$14,49,FALSE)="No data","x",IF(VLOOKUP($B89,'Indicator Data (national)'!$B$5:$BB$14,49,FALSE)&gt;AC$150,0,IF(VLOOKUP($B89,'Indicator Data (national)'!$B$5:$BB$14,49,FALSE)&lt;AC$149,10,(AC$150-VLOOKUP($B89,'Indicator Data (national)'!$B$5:$BB$14,49,FALSE))/(AC$150-AC$149)*10)))</f>
        <v>9.6719999999999988</v>
      </c>
      <c r="AD89" s="2">
        <f>IF(VLOOKUP($B89,'Indicator Data (national)'!$B$5:$BB$14,50,FALSE)="No data","x",IF(VLOOKUP($B89,'Indicator Data (national)'!$B$5:$BB$14,50,FALSE)&gt;AD$150,0,IF(VLOOKUP($B89,'Indicator Data (national)'!$B$5:$BB$14,50,FALSE)&lt;AD$149,10,(AD$150-VLOOKUP($B89,'Indicator Data (national)'!$B$5:$BB$14,50,FALSE))/(AD$150-AD$149)*10)))</f>
        <v>9.8095999999999997</v>
      </c>
      <c r="AE89" s="3">
        <f t="shared" si="31"/>
        <v>9.7408000000000001</v>
      </c>
      <c r="AF89" s="2">
        <f>IF(VLOOKUP($B89,'Indicator Data (national)'!$B$5:$BB$14,51,FALSE)="No data","x",IF(VLOOKUP($B89,'Indicator Data (national)'!$B$5:$BB$14,51,FALSE)&gt;AF$150,0,IF(VLOOKUP($B89,'Indicator Data (national)'!$B$5:$BB$14,51,FALSE)&lt;AF$149,10,(AF$150-VLOOKUP($B89,'Indicator Data (national)'!$B$5:$BB$14,51,FALSE))/(AF$150-AF$149)*10)))</f>
        <v>9.5200000000000014</v>
      </c>
      <c r="AG89" s="2">
        <f>IF(VLOOKUP($B89,'Indicator Data (national)'!$B$5:$BB$14,52,FALSE)="No data","x",IF(VLOOKUP($B89,'Indicator Data (national)'!$B$5:$BB$14,52,FALSE)&gt;AG$150,0,IF(VLOOKUP($B89,'Indicator Data (national)'!$B$5:$BB$14,52,FALSE)&lt;AG$149,10,(AG$150-VLOOKUP($B89,'Indicator Data (national)'!$B$5:$BB$14,52,FALSE))/(AG$150-AG$149)*10)))</f>
        <v>9.4111036000000006</v>
      </c>
      <c r="AH89" s="2">
        <f>IF(VLOOKUP($B89,'Indicator Data (national)'!$B$5:$BB$14,53,FALSE)="No data","x",IF(VLOOKUP($B89,'Indicator Data (national)'!$B$5:$BB$14,53,FALSE)&gt;AH$150,0,IF(VLOOKUP($B89,'Indicator Data (national)'!$B$5:$BB$14,53,FALSE)&lt;AH$149,10,(AH$150-VLOOKUP($B89,'Indicator Data (national)'!$B$5:$BB$14,53,FALSE))/(AH$150-AH$149)*10)))</f>
        <v>5.4780742399709856</v>
      </c>
      <c r="AI89" s="3">
        <f t="shared" si="32"/>
        <v>8.1363926133236628</v>
      </c>
      <c r="AJ89" s="5">
        <f t="shared" si="20"/>
        <v>7.6880851651829616</v>
      </c>
    </row>
    <row r="90" spans="1:36" s="11" customFormat="1" x14ac:dyDescent="0.25">
      <c r="A90" s="16" t="s">
        <v>459</v>
      </c>
      <c r="B90" s="11" t="s">
        <v>577</v>
      </c>
      <c r="C90" s="126" t="s">
        <v>460</v>
      </c>
      <c r="D90" s="120">
        <f>(VLOOKUP($B90,'Indicator Data (national)'!$B$5:$AP$14,39,FALSE)+VLOOKUP($B90,'Indicator Data (national)'!$B$5:$AP$14,40,FALSE)+VLOOKUP($B90,'Indicator Data (national)'!$B$5:$AP$14,41,FALSE))/VLOOKUP($B90,'Indicator Data (national)'!$B$5:$AP$14,38,FALSE)*1000000</f>
        <v>5.9440299945943305E-2</v>
      </c>
      <c r="E90" s="2">
        <f t="shared" si="21"/>
        <v>9.7027985002702835</v>
      </c>
      <c r="F90" s="3">
        <f t="shared" si="22"/>
        <v>9.7027985002702835</v>
      </c>
      <c r="G90" s="2">
        <f>IF(VLOOKUP($B90,'Indicator Data (national)'!$B$5:$AQ$14,30,FALSE)="No data","x",IF(VLOOKUP($B90,'Indicator Data (national)'!$B$5:$AQ$14,30,FALSE)&gt;G$150,10,IF(VLOOKUP($B90,'Indicator Data (national)'!$B$5:$AQ$14,30,FALSE)&lt;G$149,0,(G$150-VLOOKUP($B90,'Indicator Data (national)'!$B$5:$AQ$14,30,FALSE))/(G$150-G$149)*10)))</f>
        <v>5.0999999999999996</v>
      </c>
      <c r="H90" s="2">
        <f>IF(VLOOKUP($B90,'Indicator Data (national)'!$B$5:$AQ$14,29,FALSE)="No data","x",IF(VLOOKUP($B90,'Indicator Data (national)'!$B$5:$AQ$14,29,FALSE)&gt;H$150,10,IF(VLOOKUP($B90,'Indicator Data (national)'!$B$5:$AQ$14,29,FALSE)&lt;H$149,0,(H$150-VLOOKUP($B90,'Indicator Data (national)'!$B$5:$AQ$14,29,FALSE))/(H$150-H$149)*10)))</f>
        <v>5.0001042732474161</v>
      </c>
      <c r="I90" s="3">
        <f t="shared" si="23"/>
        <v>5.0500521366237079</v>
      </c>
      <c r="J90" s="5">
        <f t="shared" si="24"/>
        <v>7.3764253184469961</v>
      </c>
      <c r="K90" s="2">
        <f>IF(VLOOKUP($B90,'Indicator Data (national)'!$B$5:$AQ$14,33,FALSE)="No data","x",IF(VLOOKUP($B90,'Indicator Data (national)'!$B$5:$AQ$14,33,FALSE)&gt;K$150,10,IF(VLOOKUP($B90,'Indicator Data (national)'!$B$5:$AQ$14,33,FALSE)&lt;K$149,0,(K$150-VLOOKUP($B90,'Indicator Data (national)'!$B$5:$AQ$14,33,FALSE))/(K$150-K$149)*10)))</f>
        <v>8.26</v>
      </c>
      <c r="L90" s="2">
        <f>IF(VLOOKUP($B90,'Indicator Data (national)'!$B$5:$AQ$14,34,FALSE)="No data","x",IF(VLOOKUP($B90,'Indicator Data (national)'!$B$5:$AQ$14,34,FALSE)&gt;L$150,10,IF(VLOOKUP($B90,'Indicator Data (national)'!$B$5:$AQ$14,34,FALSE)&lt;L$149,0,(L$150-VLOOKUP($B90,'Indicator Data (national)'!$B$5:$AQ$14,34,FALSE))/(L$150-L$149)*10)))</f>
        <v>4.3199206013456299</v>
      </c>
      <c r="M90" s="3">
        <f t="shared" si="25"/>
        <v>6.2899603006728153</v>
      </c>
      <c r="N90" s="2">
        <f>IF(VLOOKUP($B90,'Indicator Data (national)'!$B$5:$AS$14,44,FALSE)="No data","x",IF(VLOOKUP($B90,'Indicator Data (national)'!$B$5:$AS$14,44,FALSE)&gt;N$150,10,IF(VLOOKUP($B90,'Indicator Data (national)'!$B$5:$AS$14,44,FALSE)&lt;N$149,0,10-(N$150-VLOOKUP($B90,'Indicator Data (national)'!$B$5:$AS$14,44,FALSE))/(N$150-N$149)*10)))</f>
        <v>6.1</v>
      </c>
      <c r="O90" s="2">
        <f>IF(VLOOKUP($B90,'Indicator Data (national)'!$B$5:$AS$14,42,FALSE)="No data","x",IF(VLOOKUP($B90,'Indicator Data (national)'!$B$5:$AS$14,42,FALSE)&gt;O$150,0,IF(VLOOKUP($B90,'Indicator Data (national)'!$B$5:$AS$14,42,FALSE)&lt;O$149,10,(O$150-VLOOKUP($B90,'Indicator Data (national)'!$B$5:$AS$14,42,FALSE))/(O$150-O$149)*10)))</f>
        <v>6.5100671140939594</v>
      </c>
      <c r="P90" s="158">
        <f t="shared" si="26"/>
        <v>6.3050335570469791</v>
      </c>
      <c r="Q90" s="2">
        <f>IF(VLOOKUP($B90,'Indicator Data (national)'!$B$5:$Q$14,16,FALSE)="No data","x",IF(VLOOKUP($B90,'Indicator Data (national)'!$B$5:$Q$14,16,FALSE)&gt;Q$150,0,IF(VLOOKUP($B90,'Indicator Data (national)'!$B$5:$Q$14,16,FALSE)&lt;Q$149,10,(Q$150-VLOOKUP($B90,'Indicator Data (national)'!$B$5:$Q$14,16,FALSE))/(Q$150-Q$149)*10)))</f>
        <v>9.4</v>
      </c>
      <c r="R90" s="158">
        <f t="shared" si="27"/>
        <v>9.4</v>
      </c>
      <c r="S90" s="3">
        <f t="shared" si="18"/>
        <v>7.8525167785234897</v>
      </c>
      <c r="T90" s="2" t="str">
        <f>IF(VLOOKUP($B90,'Indicator Data (national)'!$B$5:$BC$14,43,FALSE)="No data","x",IF(VLOOKUP($B90,'Indicator Data (national)'!$B$5:$BC$14,43,FALSE)&gt;T$150,10,IF(VLOOKUP($B90,'Indicator Data (national)'!$B$5:$BC$14,43,FALSE)&lt;T$149,0,(T$150-VLOOKUP($B90,'Indicator Data (national)'!$B$5:$BC$14,43,FALSE))/(T$150-T$149)*10)))</f>
        <v>x</v>
      </c>
      <c r="U90" s="3" t="str">
        <f t="shared" si="28"/>
        <v>x</v>
      </c>
      <c r="V90" s="5">
        <f t="shared" si="19"/>
        <v>7.0712385395981521</v>
      </c>
      <c r="W90" s="2">
        <f>IF(VLOOKUP($B90,'Indicator Data (national)'!$B$5:$AS$14,37,FALSE)="No data","x",IF(VLOOKUP($B90,'Indicator Data (national)'!$B$5:$AS$14,37,FALSE)&gt;W$150,10,IF(VLOOKUP($B90,'Indicator Data (national)'!$B$5:$AS$14,37,FALSE)&lt;W$149,0,(LOG(W$150)-LOG(VLOOKUP($B90,'Indicator Data (national)'!$B$5:$AS$14,37,FALSE)))/(LOG(W$150)-LOG(W$149))*10)))</f>
        <v>8.1474033834563162</v>
      </c>
      <c r="X90" s="2">
        <f>IF(VLOOKUP($B90,'Indicator Data (national)'!$B$5:$BB$14,45,FALSE)="No data","x",IF(VLOOKUP($B90,'Indicator Data (national)'!$B$5:$BB$14,45,FALSE)&gt;X$150,10,IF(VLOOKUP($B90,'Indicator Data (national)'!$B$5:$BB$14,45,FALSE)&lt;X$149,0,10-(X$150-VLOOKUP($B90,'Indicator Data (national)'!$B$5:$BB$14,45,FALSE))/(X$150-X$149)*10)))</f>
        <v>2</v>
      </c>
      <c r="Y90" s="2">
        <f>IF(VLOOKUP($B90,'Indicator Data (national)'!$B$5:$BB$14,46,FALSE)="No data","x",IF(VLOOKUP($B90,'Indicator Data (national)'!$B$5:$BB$14,46,FALSE)&gt;Y$150,10,IF(VLOOKUP($B90,'Indicator Data (national)'!$B$5:$BB$14,46,FALSE)&lt;Y$149,0,(Y$150-VLOOKUP($B90,'Indicator Data (national)'!$B$5:$BB$14,46,FALSE))/(Y$150-Y$149)*10)))</f>
        <v>1.4000000000000001</v>
      </c>
      <c r="Z90" s="156">
        <f>IF(VLOOKUP($B90,'Indicator Data (national)'!$B$5:$BB$14,48,FALSE)="No data","x",VLOOKUP($B90,'Indicator Data (national)'!$B$5:$BB$14,47,FALSE)*VLOOKUP($B90,'Indicator Data (national)'!$B$5:$BB$14,48,FALSE))</f>
        <v>7.9915185455543929</v>
      </c>
      <c r="AA90" s="2">
        <f t="shared" si="29"/>
        <v>9.2008481454445601</v>
      </c>
      <c r="AB90" s="3">
        <f t="shared" si="30"/>
        <v>5.1870628822252192</v>
      </c>
      <c r="AC90" s="2">
        <f>IF(VLOOKUP($B90,'Indicator Data (national)'!$B$5:$BB$14,49,FALSE)="No data","x",IF(VLOOKUP($B90,'Indicator Data (national)'!$B$5:$BB$14,49,FALSE)&gt;AC$150,0,IF(VLOOKUP($B90,'Indicator Data (national)'!$B$5:$BB$14,49,FALSE)&lt;AC$149,10,(AC$150-VLOOKUP($B90,'Indicator Data (national)'!$B$5:$BB$14,49,FALSE))/(AC$150-AC$149)*10)))</f>
        <v>9.6719999999999988</v>
      </c>
      <c r="AD90" s="2">
        <f>IF(VLOOKUP($B90,'Indicator Data (national)'!$B$5:$BB$14,50,FALSE)="No data","x",IF(VLOOKUP($B90,'Indicator Data (national)'!$B$5:$BB$14,50,FALSE)&gt;AD$150,0,IF(VLOOKUP($B90,'Indicator Data (national)'!$B$5:$BB$14,50,FALSE)&lt;AD$149,10,(AD$150-VLOOKUP($B90,'Indicator Data (national)'!$B$5:$BB$14,50,FALSE))/(AD$150-AD$149)*10)))</f>
        <v>9.8095999999999997</v>
      </c>
      <c r="AE90" s="3">
        <f t="shared" si="31"/>
        <v>9.7408000000000001</v>
      </c>
      <c r="AF90" s="2">
        <f>IF(VLOOKUP($B90,'Indicator Data (national)'!$B$5:$BB$14,51,FALSE)="No data","x",IF(VLOOKUP($B90,'Indicator Data (national)'!$B$5:$BB$14,51,FALSE)&gt;AF$150,0,IF(VLOOKUP($B90,'Indicator Data (national)'!$B$5:$BB$14,51,FALSE)&lt;AF$149,10,(AF$150-VLOOKUP($B90,'Indicator Data (national)'!$B$5:$BB$14,51,FALSE))/(AF$150-AF$149)*10)))</f>
        <v>9.5200000000000014</v>
      </c>
      <c r="AG90" s="2">
        <f>IF(VLOOKUP($B90,'Indicator Data (national)'!$B$5:$BB$14,52,FALSE)="No data","x",IF(VLOOKUP($B90,'Indicator Data (national)'!$B$5:$BB$14,52,FALSE)&gt;AG$150,0,IF(VLOOKUP($B90,'Indicator Data (national)'!$B$5:$BB$14,52,FALSE)&lt;AG$149,10,(AG$150-VLOOKUP($B90,'Indicator Data (national)'!$B$5:$BB$14,52,FALSE))/(AG$150-AG$149)*10)))</f>
        <v>9.4111036000000006</v>
      </c>
      <c r="AH90" s="2">
        <f>IF(VLOOKUP($B90,'Indicator Data (national)'!$B$5:$BB$14,53,FALSE)="No data","x",IF(VLOOKUP($B90,'Indicator Data (national)'!$B$5:$BB$14,53,FALSE)&gt;AH$150,0,IF(VLOOKUP($B90,'Indicator Data (national)'!$B$5:$BB$14,53,FALSE)&lt;AH$149,10,(AH$150-VLOOKUP($B90,'Indicator Data (national)'!$B$5:$BB$14,53,FALSE))/(AH$150-AH$149)*10)))</f>
        <v>5.4780742399709856</v>
      </c>
      <c r="AI90" s="3">
        <f t="shared" si="32"/>
        <v>8.1363926133236628</v>
      </c>
      <c r="AJ90" s="5">
        <f t="shared" si="20"/>
        <v>7.6880851651829616</v>
      </c>
    </row>
    <row r="91" spans="1:36" s="11" customFormat="1" x14ac:dyDescent="0.25">
      <c r="A91" s="16" t="s">
        <v>461</v>
      </c>
      <c r="B91" s="11" t="s">
        <v>577</v>
      </c>
      <c r="C91" s="126" t="s">
        <v>462</v>
      </c>
      <c r="D91" s="120">
        <f>(VLOOKUP($B91,'Indicator Data (national)'!$B$5:$AP$14,39,FALSE)+VLOOKUP($B91,'Indicator Data (national)'!$B$5:$AP$14,40,FALSE)+VLOOKUP($B91,'Indicator Data (national)'!$B$5:$AP$14,41,FALSE))/VLOOKUP($B91,'Indicator Data (national)'!$B$5:$AP$14,38,FALSE)*1000000</f>
        <v>5.9440299945943305E-2</v>
      </c>
      <c r="E91" s="2">
        <f t="shared" si="21"/>
        <v>9.7027985002702835</v>
      </c>
      <c r="F91" s="3">
        <f t="shared" si="22"/>
        <v>9.7027985002702835</v>
      </c>
      <c r="G91" s="2">
        <f>IF(VLOOKUP($B91,'Indicator Data (national)'!$B$5:$AQ$14,30,FALSE)="No data","x",IF(VLOOKUP($B91,'Indicator Data (national)'!$B$5:$AQ$14,30,FALSE)&gt;G$150,10,IF(VLOOKUP($B91,'Indicator Data (national)'!$B$5:$AQ$14,30,FALSE)&lt;G$149,0,(G$150-VLOOKUP($B91,'Indicator Data (national)'!$B$5:$AQ$14,30,FALSE))/(G$150-G$149)*10)))</f>
        <v>5.0999999999999996</v>
      </c>
      <c r="H91" s="2">
        <f>IF(VLOOKUP($B91,'Indicator Data (national)'!$B$5:$AQ$14,29,FALSE)="No data","x",IF(VLOOKUP($B91,'Indicator Data (national)'!$B$5:$AQ$14,29,FALSE)&gt;H$150,10,IF(VLOOKUP($B91,'Indicator Data (national)'!$B$5:$AQ$14,29,FALSE)&lt;H$149,0,(H$150-VLOOKUP($B91,'Indicator Data (national)'!$B$5:$AQ$14,29,FALSE))/(H$150-H$149)*10)))</f>
        <v>5.0001042732474161</v>
      </c>
      <c r="I91" s="3">
        <f t="shared" si="23"/>
        <v>5.0500521366237079</v>
      </c>
      <c r="J91" s="5">
        <f t="shared" si="24"/>
        <v>7.3764253184469961</v>
      </c>
      <c r="K91" s="2">
        <f>IF(VLOOKUP($B91,'Indicator Data (national)'!$B$5:$AQ$14,33,FALSE)="No data","x",IF(VLOOKUP($B91,'Indicator Data (national)'!$B$5:$AQ$14,33,FALSE)&gt;K$150,10,IF(VLOOKUP($B91,'Indicator Data (national)'!$B$5:$AQ$14,33,FALSE)&lt;K$149,0,(K$150-VLOOKUP($B91,'Indicator Data (national)'!$B$5:$AQ$14,33,FALSE))/(K$150-K$149)*10)))</f>
        <v>8.26</v>
      </c>
      <c r="L91" s="2">
        <f>IF(VLOOKUP($B91,'Indicator Data (national)'!$B$5:$AQ$14,34,FALSE)="No data","x",IF(VLOOKUP($B91,'Indicator Data (national)'!$B$5:$AQ$14,34,FALSE)&gt;L$150,10,IF(VLOOKUP($B91,'Indicator Data (national)'!$B$5:$AQ$14,34,FALSE)&lt;L$149,0,(L$150-VLOOKUP($B91,'Indicator Data (national)'!$B$5:$AQ$14,34,FALSE))/(L$150-L$149)*10)))</f>
        <v>4.3199206013456299</v>
      </c>
      <c r="M91" s="3">
        <f t="shared" si="25"/>
        <v>6.2899603006728153</v>
      </c>
      <c r="N91" s="2">
        <f>IF(VLOOKUP($B91,'Indicator Data (national)'!$B$5:$AS$14,44,FALSE)="No data","x",IF(VLOOKUP($B91,'Indicator Data (national)'!$B$5:$AS$14,44,FALSE)&gt;N$150,10,IF(VLOOKUP($B91,'Indicator Data (national)'!$B$5:$AS$14,44,FALSE)&lt;N$149,0,10-(N$150-VLOOKUP($B91,'Indicator Data (national)'!$B$5:$AS$14,44,FALSE))/(N$150-N$149)*10)))</f>
        <v>6.1</v>
      </c>
      <c r="O91" s="2">
        <f>IF(VLOOKUP($B91,'Indicator Data (national)'!$B$5:$AS$14,42,FALSE)="No data","x",IF(VLOOKUP($B91,'Indicator Data (national)'!$B$5:$AS$14,42,FALSE)&gt;O$150,0,IF(VLOOKUP($B91,'Indicator Data (national)'!$B$5:$AS$14,42,FALSE)&lt;O$149,10,(O$150-VLOOKUP($B91,'Indicator Data (national)'!$B$5:$AS$14,42,FALSE))/(O$150-O$149)*10)))</f>
        <v>6.5100671140939594</v>
      </c>
      <c r="P91" s="158">
        <f t="shared" si="26"/>
        <v>6.3050335570469791</v>
      </c>
      <c r="Q91" s="2">
        <f>IF(VLOOKUP($B91,'Indicator Data (national)'!$B$5:$Q$14,16,FALSE)="No data","x",IF(VLOOKUP($B91,'Indicator Data (national)'!$B$5:$Q$14,16,FALSE)&gt;Q$150,0,IF(VLOOKUP($B91,'Indicator Data (national)'!$B$5:$Q$14,16,FALSE)&lt;Q$149,10,(Q$150-VLOOKUP($B91,'Indicator Data (national)'!$B$5:$Q$14,16,FALSE))/(Q$150-Q$149)*10)))</f>
        <v>9.4</v>
      </c>
      <c r="R91" s="158">
        <f t="shared" si="27"/>
        <v>9.4</v>
      </c>
      <c r="S91" s="3">
        <f t="shared" si="18"/>
        <v>7.8525167785234897</v>
      </c>
      <c r="T91" s="2" t="str">
        <f>IF(VLOOKUP($B91,'Indicator Data (national)'!$B$5:$BC$14,43,FALSE)="No data","x",IF(VLOOKUP($B91,'Indicator Data (national)'!$B$5:$BC$14,43,FALSE)&gt;T$150,10,IF(VLOOKUP($B91,'Indicator Data (national)'!$B$5:$BC$14,43,FALSE)&lt;T$149,0,(T$150-VLOOKUP($B91,'Indicator Data (national)'!$B$5:$BC$14,43,FALSE))/(T$150-T$149)*10)))</f>
        <v>x</v>
      </c>
      <c r="U91" s="3" t="str">
        <f t="shared" si="28"/>
        <v>x</v>
      </c>
      <c r="V91" s="5">
        <f t="shared" si="19"/>
        <v>7.0712385395981521</v>
      </c>
      <c r="W91" s="2">
        <f>IF(VLOOKUP($B91,'Indicator Data (national)'!$B$5:$AS$14,37,FALSE)="No data","x",IF(VLOOKUP($B91,'Indicator Data (national)'!$B$5:$AS$14,37,FALSE)&gt;W$150,10,IF(VLOOKUP($B91,'Indicator Data (national)'!$B$5:$AS$14,37,FALSE)&lt;W$149,0,(LOG(W$150)-LOG(VLOOKUP($B91,'Indicator Data (national)'!$B$5:$AS$14,37,FALSE)))/(LOG(W$150)-LOG(W$149))*10)))</f>
        <v>8.1474033834563162</v>
      </c>
      <c r="X91" s="2">
        <f>IF(VLOOKUP($B91,'Indicator Data (national)'!$B$5:$BB$14,45,FALSE)="No data","x",IF(VLOOKUP($B91,'Indicator Data (national)'!$B$5:$BB$14,45,FALSE)&gt;X$150,10,IF(VLOOKUP($B91,'Indicator Data (national)'!$B$5:$BB$14,45,FALSE)&lt;X$149,0,10-(X$150-VLOOKUP($B91,'Indicator Data (national)'!$B$5:$BB$14,45,FALSE))/(X$150-X$149)*10)))</f>
        <v>2</v>
      </c>
      <c r="Y91" s="2">
        <f>IF(VLOOKUP($B91,'Indicator Data (national)'!$B$5:$BB$14,46,FALSE)="No data","x",IF(VLOOKUP($B91,'Indicator Data (national)'!$B$5:$BB$14,46,FALSE)&gt;Y$150,10,IF(VLOOKUP($B91,'Indicator Data (national)'!$B$5:$BB$14,46,FALSE)&lt;Y$149,0,(Y$150-VLOOKUP($B91,'Indicator Data (national)'!$B$5:$BB$14,46,FALSE))/(Y$150-Y$149)*10)))</f>
        <v>1.4000000000000001</v>
      </c>
      <c r="Z91" s="156">
        <f>IF(VLOOKUP($B91,'Indicator Data (national)'!$B$5:$BB$14,48,FALSE)="No data","x",VLOOKUP($B91,'Indicator Data (national)'!$B$5:$BB$14,47,FALSE)*VLOOKUP($B91,'Indicator Data (national)'!$B$5:$BB$14,48,FALSE))</f>
        <v>7.9915185455543929</v>
      </c>
      <c r="AA91" s="2">
        <f t="shared" si="29"/>
        <v>9.2008481454445601</v>
      </c>
      <c r="AB91" s="3">
        <f t="shared" si="30"/>
        <v>5.1870628822252192</v>
      </c>
      <c r="AC91" s="2">
        <f>IF(VLOOKUP($B91,'Indicator Data (national)'!$B$5:$BB$14,49,FALSE)="No data","x",IF(VLOOKUP($B91,'Indicator Data (national)'!$B$5:$BB$14,49,FALSE)&gt;AC$150,0,IF(VLOOKUP($B91,'Indicator Data (national)'!$B$5:$BB$14,49,FALSE)&lt;AC$149,10,(AC$150-VLOOKUP($B91,'Indicator Data (national)'!$B$5:$BB$14,49,FALSE))/(AC$150-AC$149)*10)))</f>
        <v>9.6719999999999988</v>
      </c>
      <c r="AD91" s="2">
        <f>IF(VLOOKUP($B91,'Indicator Data (national)'!$B$5:$BB$14,50,FALSE)="No data","x",IF(VLOOKUP($B91,'Indicator Data (national)'!$B$5:$BB$14,50,FALSE)&gt;AD$150,0,IF(VLOOKUP($B91,'Indicator Data (national)'!$B$5:$BB$14,50,FALSE)&lt;AD$149,10,(AD$150-VLOOKUP($B91,'Indicator Data (national)'!$B$5:$BB$14,50,FALSE))/(AD$150-AD$149)*10)))</f>
        <v>9.8095999999999997</v>
      </c>
      <c r="AE91" s="3">
        <f t="shared" si="31"/>
        <v>9.7408000000000001</v>
      </c>
      <c r="AF91" s="2">
        <f>IF(VLOOKUP($B91,'Indicator Data (national)'!$B$5:$BB$14,51,FALSE)="No data","x",IF(VLOOKUP($B91,'Indicator Data (national)'!$B$5:$BB$14,51,FALSE)&gt;AF$150,0,IF(VLOOKUP($B91,'Indicator Data (national)'!$B$5:$BB$14,51,FALSE)&lt;AF$149,10,(AF$150-VLOOKUP($B91,'Indicator Data (national)'!$B$5:$BB$14,51,FALSE))/(AF$150-AF$149)*10)))</f>
        <v>9.5200000000000014</v>
      </c>
      <c r="AG91" s="2">
        <f>IF(VLOOKUP($B91,'Indicator Data (national)'!$B$5:$BB$14,52,FALSE)="No data","x",IF(VLOOKUP($B91,'Indicator Data (national)'!$B$5:$BB$14,52,FALSE)&gt;AG$150,0,IF(VLOOKUP($B91,'Indicator Data (national)'!$B$5:$BB$14,52,FALSE)&lt;AG$149,10,(AG$150-VLOOKUP($B91,'Indicator Data (national)'!$B$5:$BB$14,52,FALSE))/(AG$150-AG$149)*10)))</f>
        <v>9.4111036000000006</v>
      </c>
      <c r="AH91" s="2">
        <f>IF(VLOOKUP($B91,'Indicator Data (national)'!$B$5:$BB$14,53,FALSE)="No data","x",IF(VLOOKUP($B91,'Indicator Data (national)'!$B$5:$BB$14,53,FALSE)&gt;AH$150,0,IF(VLOOKUP($B91,'Indicator Data (national)'!$B$5:$BB$14,53,FALSE)&lt;AH$149,10,(AH$150-VLOOKUP($B91,'Indicator Data (national)'!$B$5:$BB$14,53,FALSE))/(AH$150-AH$149)*10)))</f>
        <v>5.4780742399709856</v>
      </c>
      <c r="AI91" s="3">
        <f t="shared" si="32"/>
        <v>8.1363926133236628</v>
      </c>
      <c r="AJ91" s="5">
        <f t="shared" si="20"/>
        <v>7.6880851651829616</v>
      </c>
    </row>
    <row r="92" spans="1:36" s="11" customFormat="1" x14ac:dyDescent="0.25">
      <c r="A92" s="16" t="s">
        <v>463</v>
      </c>
      <c r="B92" s="11" t="s">
        <v>577</v>
      </c>
      <c r="C92" s="126" t="s">
        <v>464</v>
      </c>
      <c r="D92" s="120">
        <f>(VLOOKUP($B92,'Indicator Data (national)'!$B$5:$AP$14,39,FALSE)+VLOOKUP($B92,'Indicator Data (national)'!$B$5:$AP$14,40,FALSE)+VLOOKUP($B92,'Indicator Data (national)'!$B$5:$AP$14,41,FALSE))/VLOOKUP($B92,'Indicator Data (national)'!$B$5:$AP$14,38,FALSE)*1000000</f>
        <v>5.9440299945943305E-2</v>
      </c>
      <c r="E92" s="2">
        <f t="shared" si="21"/>
        <v>9.7027985002702835</v>
      </c>
      <c r="F92" s="3">
        <f t="shared" si="22"/>
        <v>9.7027985002702835</v>
      </c>
      <c r="G92" s="2">
        <f>IF(VLOOKUP($B92,'Indicator Data (national)'!$B$5:$AQ$14,30,FALSE)="No data","x",IF(VLOOKUP($B92,'Indicator Data (national)'!$B$5:$AQ$14,30,FALSE)&gt;G$150,10,IF(VLOOKUP($B92,'Indicator Data (national)'!$B$5:$AQ$14,30,FALSE)&lt;G$149,0,(G$150-VLOOKUP($B92,'Indicator Data (national)'!$B$5:$AQ$14,30,FALSE))/(G$150-G$149)*10)))</f>
        <v>5.0999999999999996</v>
      </c>
      <c r="H92" s="2">
        <f>IF(VLOOKUP($B92,'Indicator Data (national)'!$B$5:$AQ$14,29,FALSE)="No data","x",IF(VLOOKUP($B92,'Indicator Data (national)'!$B$5:$AQ$14,29,FALSE)&gt;H$150,10,IF(VLOOKUP($B92,'Indicator Data (national)'!$B$5:$AQ$14,29,FALSE)&lt;H$149,0,(H$150-VLOOKUP($B92,'Indicator Data (national)'!$B$5:$AQ$14,29,FALSE))/(H$150-H$149)*10)))</f>
        <v>5.0001042732474161</v>
      </c>
      <c r="I92" s="3">
        <f t="shared" si="23"/>
        <v>5.0500521366237079</v>
      </c>
      <c r="J92" s="5">
        <f t="shared" si="24"/>
        <v>7.3764253184469961</v>
      </c>
      <c r="K92" s="2">
        <f>IF(VLOOKUP($B92,'Indicator Data (national)'!$B$5:$AQ$14,33,FALSE)="No data","x",IF(VLOOKUP($B92,'Indicator Data (national)'!$B$5:$AQ$14,33,FALSE)&gt;K$150,10,IF(VLOOKUP($B92,'Indicator Data (national)'!$B$5:$AQ$14,33,FALSE)&lt;K$149,0,(K$150-VLOOKUP($B92,'Indicator Data (national)'!$B$5:$AQ$14,33,FALSE))/(K$150-K$149)*10)))</f>
        <v>8.26</v>
      </c>
      <c r="L92" s="2">
        <f>IF(VLOOKUP($B92,'Indicator Data (national)'!$B$5:$AQ$14,34,FALSE)="No data","x",IF(VLOOKUP($B92,'Indicator Data (national)'!$B$5:$AQ$14,34,FALSE)&gt;L$150,10,IF(VLOOKUP($B92,'Indicator Data (national)'!$B$5:$AQ$14,34,FALSE)&lt;L$149,0,(L$150-VLOOKUP($B92,'Indicator Data (national)'!$B$5:$AQ$14,34,FALSE))/(L$150-L$149)*10)))</f>
        <v>4.3199206013456299</v>
      </c>
      <c r="M92" s="3">
        <f t="shared" si="25"/>
        <v>6.2899603006728153</v>
      </c>
      <c r="N92" s="2">
        <f>IF(VLOOKUP($B92,'Indicator Data (national)'!$B$5:$AS$14,44,FALSE)="No data","x",IF(VLOOKUP($B92,'Indicator Data (national)'!$B$5:$AS$14,44,FALSE)&gt;N$150,10,IF(VLOOKUP($B92,'Indicator Data (national)'!$B$5:$AS$14,44,FALSE)&lt;N$149,0,10-(N$150-VLOOKUP($B92,'Indicator Data (national)'!$B$5:$AS$14,44,FALSE))/(N$150-N$149)*10)))</f>
        <v>6.1</v>
      </c>
      <c r="O92" s="2">
        <f>IF(VLOOKUP($B92,'Indicator Data (national)'!$B$5:$AS$14,42,FALSE)="No data","x",IF(VLOOKUP($B92,'Indicator Data (national)'!$B$5:$AS$14,42,FALSE)&gt;O$150,0,IF(VLOOKUP($B92,'Indicator Data (national)'!$B$5:$AS$14,42,FALSE)&lt;O$149,10,(O$150-VLOOKUP($B92,'Indicator Data (national)'!$B$5:$AS$14,42,FALSE))/(O$150-O$149)*10)))</f>
        <v>6.5100671140939594</v>
      </c>
      <c r="P92" s="158">
        <f t="shared" si="26"/>
        <v>6.3050335570469791</v>
      </c>
      <c r="Q92" s="2">
        <f>IF(VLOOKUP($B92,'Indicator Data (national)'!$B$5:$Q$14,16,FALSE)="No data","x",IF(VLOOKUP($B92,'Indicator Data (national)'!$B$5:$Q$14,16,FALSE)&gt;Q$150,0,IF(VLOOKUP($B92,'Indicator Data (national)'!$B$5:$Q$14,16,FALSE)&lt;Q$149,10,(Q$150-VLOOKUP($B92,'Indicator Data (national)'!$B$5:$Q$14,16,FALSE))/(Q$150-Q$149)*10)))</f>
        <v>9.4</v>
      </c>
      <c r="R92" s="158">
        <f t="shared" si="27"/>
        <v>9.4</v>
      </c>
      <c r="S92" s="3">
        <f t="shared" si="18"/>
        <v>7.8525167785234897</v>
      </c>
      <c r="T92" s="2" t="str">
        <f>IF(VLOOKUP($B92,'Indicator Data (national)'!$B$5:$BC$14,43,FALSE)="No data","x",IF(VLOOKUP($B92,'Indicator Data (national)'!$B$5:$BC$14,43,FALSE)&gt;T$150,10,IF(VLOOKUP($B92,'Indicator Data (national)'!$B$5:$BC$14,43,FALSE)&lt;T$149,0,(T$150-VLOOKUP($B92,'Indicator Data (national)'!$B$5:$BC$14,43,FALSE))/(T$150-T$149)*10)))</f>
        <v>x</v>
      </c>
      <c r="U92" s="3" t="str">
        <f t="shared" si="28"/>
        <v>x</v>
      </c>
      <c r="V92" s="5">
        <f t="shared" si="19"/>
        <v>7.0712385395981521</v>
      </c>
      <c r="W92" s="2">
        <f>IF(VLOOKUP($B92,'Indicator Data (national)'!$B$5:$AS$14,37,FALSE)="No data","x",IF(VLOOKUP($B92,'Indicator Data (national)'!$B$5:$AS$14,37,FALSE)&gt;W$150,10,IF(VLOOKUP($B92,'Indicator Data (national)'!$B$5:$AS$14,37,FALSE)&lt;W$149,0,(LOG(W$150)-LOG(VLOOKUP($B92,'Indicator Data (national)'!$B$5:$AS$14,37,FALSE)))/(LOG(W$150)-LOG(W$149))*10)))</f>
        <v>8.1474033834563162</v>
      </c>
      <c r="X92" s="2">
        <f>IF(VLOOKUP($B92,'Indicator Data (national)'!$B$5:$BB$14,45,FALSE)="No data","x",IF(VLOOKUP($B92,'Indicator Data (national)'!$B$5:$BB$14,45,FALSE)&gt;X$150,10,IF(VLOOKUP($B92,'Indicator Data (national)'!$B$5:$BB$14,45,FALSE)&lt;X$149,0,10-(X$150-VLOOKUP($B92,'Indicator Data (national)'!$B$5:$BB$14,45,FALSE))/(X$150-X$149)*10)))</f>
        <v>2</v>
      </c>
      <c r="Y92" s="2">
        <f>IF(VLOOKUP($B92,'Indicator Data (national)'!$B$5:$BB$14,46,FALSE)="No data","x",IF(VLOOKUP($B92,'Indicator Data (national)'!$B$5:$BB$14,46,FALSE)&gt;Y$150,10,IF(VLOOKUP($B92,'Indicator Data (national)'!$B$5:$BB$14,46,FALSE)&lt;Y$149,0,(Y$150-VLOOKUP($B92,'Indicator Data (national)'!$B$5:$BB$14,46,FALSE))/(Y$150-Y$149)*10)))</f>
        <v>1.4000000000000001</v>
      </c>
      <c r="Z92" s="156">
        <f>IF(VLOOKUP($B92,'Indicator Data (national)'!$B$5:$BB$14,48,FALSE)="No data","x",VLOOKUP($B92,'Indicator Data (national)'!$B$5:$BB$14,47,FALSE)*VLOOKUP($B92,'Indicator Data (national)'!$B$5:$BB$14,48,FALSE))</f>
        <v>7.9915185455543929</v>
      </c>
      <c r="AA92" s="2">
        <f t="shared" si="29"/>
        <v>9.2008481454445601</v>
      </c>
      <c r="AB92" s="3">
        <f t="shared" si="30"/>
        <v>5.1870628822252192</v>
      </c>
      <c r="AC92" s="2">
        <f>IF(VLOOKUP($B92,'Indicator Data (national)'!$B$5:$BB$14,49,FALSE)="No data","x",IF(VLOOKUP($B92,'Indicator Data (national)'!$B$5:$BB$14,49,FALSE)&gt;AC$150,0,IF(VLOOKUP($B92,'Indicator Data (national)'!$B$5:$BB$14,49,FALSE)&lt;AC$149,10,(AC$150-VLOOKUP($B92,'Indicator Data (national)'!$B$5:$BB$14,49,FALSE))/(AC$150-AC$149)*10)))</f>
        <v>9.6719999999999988</v>
      </c>
      <c r="AD92" s="2">
        <f>IF(VLOOKUP($B92,'Indicator Data (national)'!$B$5:$BB$14,50,FALSE)="No data","x",IF(VLOOKUP($B92,'Indicator Data (national)'!$B$5:$BB$14,50,FALSE)&gt;AD$150,0,IF(VLOOKUP($B92,'Indicator Data (national)'!$B$5:$BB$14,50,FALSE)&lt;AD$149,10,(AD$150-VLOOKUP($B92,'Indicator Data (national)'!$B$5:$BB$14,50,FALSE))/(AD$150-AD$149)*10)))</f>
        <v>9.8095999999999997</v>
      </c>
      <c r="AE92" s="3">
        <f t="shared" si="31"/>
        <v>9.7408000000000001</v>
      </c>
      <c r="AF92" s="2">
        <f>IF(VLOOKUP($B92,'Indicator Data (national)'!$B$5:$BB$14,51,FALSE)="No data","x",IF(VLOOKUP($B92,'Indicator Data (national)'!$B$5:$BB$14,51,FALSE)&gt;AF$150,0,IF(VLOOKUP($B92,'Indicator Data (national)'!$B$5:$BB$14,51,FALSE)&lt;AF$149,10,(AF$150-VLOOKUP($B92,'Indicator Data (national)'!$B$5:$BB$14,51,FALSE))/(AF$150-AF$149)*10)))</f>
        <v>9.5200000000000014</v>
      </c>
      <c r="AG92" s="2">
        <f>IF(VLOOKUP($B92,'Indicator Data (national)'!$B$5:$BB$14,52,FALSE)="No data","x",IF(VLOOKUP($B92,'Indicator Data (national)'!$B$5:$BB$14,52,FALSE)&gt;AG$150,0,IF(VLOOKUP($B92,'Indicator Data (national)'!$B$5:$BB$14,52,FALSE)&lt;AG$149,10,(AG$150-VLOOKUP($B92,'Indicator Data (national)'!$B$5:$BB$14,52,FALSE))/(AG$150-AG$149)*10)))</f>
        <v>9.4111036000000006</v>
      </c>
      <c r="AH92" s="2">
        <f>IF(VLOOKUP($B92,'Indicator Data (national)'!$B$5:$BB$14,53,FALSE)="No data","x",IF(VLOOKUP($B92,'Indicator Data (national)'!$B$5:$BB$14,53,FALSE)&gt;AH$150,0,IF(VLOOKUP($B92,'Indicator Data (national)'!$B$5:$BB$14,53,FALSE)&lt;AH$149,10,(AH$150-VLOOKUP($B92,'Indicator Data (national)'!$B$5:$BB$14,53,FALSE))/(AH$150-AH$149)*10)))</f>
        <v>5.4780742399709856</v>
      </c>
      <c r="AI92" s="3">
        <f t="shared" si="32"/>
        <v>8.1363926133236628</v>
      </c>
      <c r="AJ92" s="5">
        <f t="shared" si="20"/>
        <v>7.6880851651829616</v>
      </c>
    </row>
    <row r="93" spans="1:36" s="11" customFormat="1" x14ac:dyDescent="0.25">
      <c r="A93" s="16" t="s">
        <v>465</v>
      </c>
      <c r="B93" s="11" t="s">
        <v>577</v>
      </c>
      <c r="C93" s="126" t="s">
        <v>466</v>
      </c>
      <c r="D93" s="120">
        <f>(VLOOKUP($B93,'Indicator Data (national)'!$B$5:$AP$14,39,FALSE)+VLOOKUP($B93,'Indicator Data (national)'!$B$5:$AP$14,40,FALSE)+VLOOKUP($B93,'Indicator Data (national)'!$B$5:$AP$14,41,FALSE))/VLOOKUP($B93,'Indicator Data (national)'!$B$5:$AP$14,38,FALSE)*1000000</f>
        <v>5.9440299945943305E-2</v>
      </c>
      <c r="E93" s="2">
        <f t="shared" si="21"/>
        <v>9.7027985002702835</v>
      </c>
      <c r="F93" s="3">
        <f t="shared" si="22"/>
        <v>9.7027985002702835</v>
      </c>
      <c r="G93" s="2">
        <f>IF(VLOOKUP($B93,'Indicator Data (national)'!$B$5:$AQ$14,30,FALSE)="No data","x",IF(VLOOKUP($B93,'Indicator Data (national)'!$B$5:$AQ$14,30,FALSE)&gt;G$150,10,IF(VLOOKUP($B93,'Indicator Data (national)'!$B$5:$AQ$14,30,FALSE)&lt;G$149,0,(G$150-VLOOKUP($B93,'Indicator Data (national)'!$B$5:$AQ$14,30,FALSE))/(G$150-G$149)*10)))</f>
        <v>5.0999999999999996</v>
      </c>
      <c r="H93" s="2">
        <f>IF(VLOOKUP($B93,'Indicator Data (national)'!$B$5:$AQ$14,29,FALSE)="No data","x",IF(VLOOKUP($B93,'Indicator Data (national)'!$B$5:$AQ$14,29,FALSE)&gt;H$150,10,IF(VLOOKUP($B93,'Indicator Data (national)'!$B$5:$AQ$14,29,FALSE)&lt;H$149,0,(H$150-VLOOKUP($B93,'Indicator Data (national)'!$B$5:$AQ$14,29,FALSE))/(H$150-H$149)*10)))</f>
        <v>5.0001042732474161</v>
      </c>
      <c r="I93" s="3">
        <f t="shared" si="23"/>
        <v>5.0500521366237079</v>
      </c>
      <c r="J93" s="5">
        <f t="shared" si="24"/>
        <v>7.3764253184469961</v>
      </c>
      <c r="K93" s="2">
        <f>IF(VLOOKUP($B93,'Indicator Data (national)'!$B$5:$AQ$14,33,FALSE)="No data","x",IF(VLOOKUP($B93,'Indicator Data (national)'!$B$5:$AQ$14,33,FALSE)&gt;K$150,10,IF(VLOOKUP($B93,'Indicator Data (national)'!$B$5:$AQ$14,33,FALSE)&lt;K$149,0,(K$150-VLOOKUP($B93,'Indicator Data (national)'!$B$5:$AQ$14,33,FALSE))/(K$150-K$149)*10)))</f>
        <v>8.26</v>
      </c>
      <c r="L93" s="2">
        <f>IF(VLOOKUP($B93,'Indicator Data (national)'!$B$5:$AQ$14,34,FALSE)="No data","x",IF(VLOOKUP($B93,'Indicator Data (national)'!$B$5:$AQ$14,34,FALSE)&gt;L$150,10,IF(VLOOKUP($B93,'Indicator Data (national)'!$B$5:$AQ$14,34,FALSE)&lt;L$149,0,(L$150-VLOOKUP($B93,'Indicator Data (national)'!$B$5:$AQ$14,34,FALSE))/(L$150-L$149)*10)))</f>
        <v>4.3199206013456299</v>
      </c>
      <c r="M93" s="3">
        <f t="shared" si="25"/>
        <v>6.2899603006728153</v>
      </c>
      <c r="N93" s="2">
        <f>IF(VLOOKUP($B93,'Indicator Data (national)'!$B$5:$AS$14,44,FALSE)="No data","x",IF(VLOOKUP($B93,'Indicator Data (national)'!$B$5:$AS$14,44,FALSE)&gt;N$150,10,IF(VLOOKUP($B93,'Indicator Data (national)'!$B$5:$AS$14,44,FALSE)&lt;N$149,0,10-(N$150-VLOOKUP($B93,'Indicator Data (national)'!$B$5:$AS$14,44,FALSE))/(N$150-N$149)*10)))</f>
        <v>6.1</v>
      </c>
      <c r="O93" s="2">
        <f>IF(VLOOKUP($B93,'Indicator Data (national)'!$B$5:$AS$14,42,FALSE)="No data","x",IF(VLOOKUP($B93,'Indicator Data (national)'!$B$5:$AS$14,42,FALSE)&gt;O$150,0,IF(VLOOKUP($B93,'Indicator Data (national)'!$B$5:$AS$14,42,FALSE)&lt;O$149,10,(O$150-VLOOKUP($B93,'Indicator Data (national)'!$B$5:$AS$14,42,FALSE))/(O$150-O$149)*10)))</f>
        <v>6.5100671140939594</v>
      </c>
      <c r="P93" s="158">
        <f t="shared" si="26"/>
        <v>6.3050335570469791</v>
      </c>
      <c r="Q93" s="2">
        <f>IF(VLOOKUP($B93,'Indicator Data (national)'!$B$5:$Q$14,16,FALSE)="No data","x",IF(VLOOKUP($B93,'Indicator Data (national)'!$B$5:$Q$14,16,FALSE)&gt;Q$150,0,IF(VLOOKUP($B93,'Indicator Data (national)'!$B$5:$Q$14,16,FALSE)&lt;Q$149,10,(Q$150-VLOOKUP($B93,'Indicator Data (national)'!$B$5:$Q$14,16,FALSE))/(Q$150-Q$149)*10)))</f>
        <v>9.4</v>
      </c>
      <c r="R93" s="158">
        <f t="shared" si="27"/>
        <v>9.4</v>
      </c>
      <c r="S93" s="3">
        <f t="shared" si="18"/>
        <v>7.8525167785234897</v>
      </c>
      <c r="T93" s="2" t="str">
        <f>IF(VLOOKUP($B93,'Indicator Data (national)'!$B$5:$BC$14,43,FALSE)="No data","x",IF(VLOOKUP($B93,'Indicator Data (national)'!$B$5:$BC$14,43,FALSE)&gt;T$150,10,IF(VLOOKUP($B93,'Indicator Data (national)'!$B$5:$BC$14,43,FALSE)&lt;T$149,0,(T$150-VLOOKUP($B93,'Indicator Data (national)'!$B$5:$BC$14,43,FALSE))/(T$150-T$149)*10)))</f>
        <v>x</v>
      </c>
      <c r="U93" s="3" t="str">
        <f t="shared" si="28"/>
        <v>x</v>
      </c>
      <c r="V93" s="5">
        <f t="shared" si="19"/>
        <v>7.0712385395981521</v>
      </c>
      <c r="W93" s="2">
        <f>IF(VLOOKUP($B93,'Indicator Data (national)'!$B$5:$AS$14,37,FALSE)="No data","x",IF(VLOOKUP($B93,'Indicator Data (national)'!$B$5:$AS$14,37,FALSE)&gt;W$150,10,IF(VLOOKUP($B93,'Indicator Data (national)'!$B$5:$AS$14,37,FALSE)&lt;W$149,0,(LOG(W$150)-LOG(VLOOKUP($B93,'Indicator Data (national)'!$B$5:$AS$14,37,FALSE)))/(LOG(W$150)-LOG(W$149))*10)))</f>
        <v>8.1474033834563162</v>
      </c>
      <c r="X93" s="2">
        <f>IF(VLOOKUP($B93,'Indicator Data (national)'!$B$5:$BB$14,45,FALSE)="No data","x",IF(VLOOKUP($B93,'Indicator Data (national)'!$B$5:$BB$14,45,FALSE)&gt;X$150,10,IF(VLOOKUP($B93,'Indicator Data (national)'!$B$5:$BB$14,45,FALSE)&lt;X$149,0,10-(X$150-VLOOKUP($B93,'Indicator Data (national)'!$B$5:$BB$14,45,FALSE))/(X$150-X$149)*10)))</f>
        <v>2</v>
      </c>
      <c r="Y93" s="2">
        <f>IF(VLOOKUP($B93,'Indicator Data (national)'!$B$5:$BB$14,46,FALSE)="No data","x",IF(VLOOKUP($B93,'Indicator Data (national)'!$B$5:$BB$14,46,FALSE)&gt;Y$150,10,IF(VLOOKUP($B93,'Indicator Data (national)'!$B$5:$BB$14,46,FALSE)&lt;Y$149,0,(Y$150-VLOOKUP($B93,'Indicator Data (national)'!$B$5:$BB$14,46,FALSE))/(Y$150-Y$149)*10)))</f>
        <v>1.4000000000000001</v>
      </c>
      <c r="Z93" s="156">
        <f>IF(VLOOKUP($B93,'Indicator Data (national)'!$B$5:$BB$14,48,FALSE)="No data","x",VLOOKUP($B93,'Indicator Data (national)'!$B$5:$BB$14,47,FALSE)*VLOOKUP($B93,'Indicator Data (national)'!$B$5:$BB$14,48,FALSE))</f>
        <v>7.9915185455543929</v>
      </c>
      <c r="AA93" s="2">
        <f t="shared" si="29"/>
        <v>9.2008481454445601</v>
      </c>
      <c r="AB93" s="3">
        <f t="shared" si="30"/>
        <v>5.1870628822252192</v>
      </c>
      <c r="AC93" s="2">
        <f>IF(VLOOKUP($B93,'Indicator Data (national)'!$B$5:$BB$14,49,FALSE)="No data","x",IF(VLOOKUP($B93,'Indicator Data (national)'!$B$5:$BB$14,49,FALSE)&gt;AC$150,0,IF(VLOOKUP($B93,'Indicator Data (national)'!$B$5:$BB$14,49,FALSE)&lt;AC$149,10,(AC$150-VLOOKUP($B93,'Indicator Data (national)'!$B$5:$BB$14,49,FALSE))/(AC$150-AC$149)*10)))</f>
        <v>9.6719999999999988</v>
      </c>
      <c r="AD93" s="2">
        <f>IF(VLOOKUP($B93,'Indicator Data (national)'!$B$5:$BB$14,50,FALSE)="No data","x",IF(VLOOKUP($B93,'Indicator Data (national)'!$B$5:$BB$14,50,FALSE)&gt;AD$150,0,IF(VLOOKUP($B93,'Indicator Data (national)'!$B$5:$BB$14,50,FALSE)&lt;AD$149,10,(AD$150-VLOOKUP($B93,'Indicator Data (national)'!$B$5:$BB$14,50,FALSE))/(AD$150-AD$149)*10)))</f>
        <v>9.8095999999999997</v>
      </c>
      <c r="AE93" s="3">
        <f t="shared" si="31"/>
        <v>9.7408000000000001</v>
      </c>
      <c r="AF93" s="2">
        <f>IF(VLOOKUP($B93,'Indicator Data (national)'!$B$5:$BB$14,51,FALSE)="No data","x",IF(VLOOKUP($B93,'Indicator Data (national)'!$B$5:$BB$14,51,FALSE)&gt;AF$150,0,IF(VLOOKUP($B93,'Indicator Data (national)'!$B$5:$BB$14,51,FALSE)&lt;AF$149,10,(AF$150-VLOOKUP($B93,'Indicator Data (national)'!$B$5:$BB$14,51,FALSE))/(AF$150-AF$149)*10)))</f>
        <v>9.5200000000000014</v>
      </c>
      <c r="AG93" s="2">
        <f>IF(VLOOKUP($B93,'Indicator Data (national)'!$B$5:$BB$14,52,FALSE)="No data","x",IF(VLOOKUP($B93,'Indicator Data (national)'!$B$5:$BB$14,52,FALSE)&gt;AG$150,0,IF(VLOOKUP($B93,'Indicator Data (national)'!$B$5:$BB$14,52,FALSE)&lt;AG$149,10,(AG$150-VLOOKUP($B93,'Indicator Data (national)'!$B$5:$BB$14,52,FALSE))/(AG$150-AG$149)*10)))</f>
        <v>9.4111036000000006</v>
      </c>
      <c r="AH93" s="2">
        <f>IF(VLOOKUP($B93,'Indicator Data (national)'!$B$5:$BB$14,53,FALSE)="No data","x",IF(VLOOKUP($B93,'Indicator Data (national)'!$B$5:$BB$14,53,FALSE)&gt;AH$150,0,IF(VLOOKUP($B93,'Indicator Data (national)'!$B$5:$BB$14,53,FALSE)&lt;AH$149,10,(AH$150-VLOOKUP($B93,'Indicator Data (national)'!$B$5:$BB$14,53,FALSE))/(AH$150-AH$149)*10)))</f>
        <v>5.4780742399709856</v>
      </c>
      <c r="AI93" s="3">
        <f t="shared" si="32"/>
        <v>8.1363926133236628</v>
      </c>
      <c r="AJ93" s="5">
        <f t="shared" si="20"/>
        <v>7.6880851651829616</v>
      </c>
    </row>
    <row r="94" spans="1:36" s="11" customFormat="1" x14ac:dyDescent="0.25">
      <c r="A94" s="16" t="s">
        <v>468</v>
      </c>
      <c r="B94" s="11" t="s">
        <v>578</v>
      </c>
      <c r="C94" s="16" t="s">
        <v>469</v>
      </c>
      <c r="D94" s="120">
        <f>(VLOOKUP($B94,'Indicator Data (national)'!$B$5:$AP$14,39,FALSE)+VLOOKUP($B94,'Indicator Data (national)'!$B$5:$AP$14,40,FALSE)+VLOOKUP($B94,'Indicator Data (national)'!$B$5:$AP$14,41,FALSE))/VLOOKUP($B94,'Indicator Data (national)'!$B$5:$AP$14,38,FALSE)*1000000</f>
        <v>0.84607019924476812</v>
      </c>
      <c r="E94" s="2">
        <f t="shared" si="21"/>
        <v>5.7696490037761592</v>
      </c>
      <c r="F94" s="3">
        <f t="shared" si="22"/>
        <v>5.7696490037761592</v>
      </c>
      <c r="G94" s="2">
        <f>IF(VLOOKUP($B94,'Indicator Data (national)'!$B$5:$AQ$14,30,FALSE)="No data","x",IF(VLOOKUP($B94,'Indicator Data (national)'!$B$5:$AQ$14,30,FALSE)&gt;G$150,10,IF(VLOOKUP($B94,'Indicator Data (national)'!$B$5:$AQ$14,30,FALSE)&lt;G$149,0,(G$150-VLOOKUP($B94,'Indicator Data (national)'!$B$5:$AQ$14,30,FALSE))/(G$150-G$149)*10)))</f>
        <v>9.2000000000000011</v>
      </c>
      <c r="H94" s="2">
        <f>IF(VLOOKUP($B94,'Indicator Data (national)'!$B$5:$AQ$14,29,FALSE)="No data","x",IF(VLOOKUP($B94,'Indicator Data (national)'!$B$5:$AQ$14,29,FALSE)&gt;H$150,10,IF(VLOOKUP($B94,'Indicator Data (national)'!$B$5:$AQ$14,29,FALSE)&lt;H$149,0,(H$150-VLOOKUP($B94,'Indicator Data (national)'!$B$5:$AQ$14,29,FALSE))/(H$150-H$149)*10)))</f>
        <v>9.4153704643249512</v>
      </c>
      <c r="I94" s="3">
        <f t="shared" si="23"/>
        <v>9.307685232162477</v>
      </c>
      <c r="J94" s="5">
        <f t="shared" si="24"/>
        <v>7.5386671179693181</v>
      </c>
      <c r="K94" s="2">
        <f>IF(VLOOKUP($B94,'Indicator Data (national)'!$B$5:$AQ$14,33,FALSE)="No data","x",IF(VLOOKUP($B94,'Indicator Data (national)'!$B$5:$AQ$14,33,FALSE)&gt;K$150,10,IF(VLOOKUP($B94,'Indicator Data (national)'!$B$5:$AQ$14,33,FALSE)&lt;K$149,0,(K$150-VLOOKUP($B94,'Indicator Data (national)'!$B$5:$AQ$14,33,FALSE))/(K$150-K$149)*10)))</f>
        <v>9.6999999999999993</v>
      </c>
      <c r="L94" s="2">
        <f>IF(VLOOKUP($B94,'Indicator Data (national)'!$B$5:$AQ$14,34,FALSE)="No data","x",IF(VLOOKUP($B94,'Indicator Data (national)'!$B$5:$AQ$14,34,FALSE)&gt;L$150,10,IF(VLOOKUP($B94,'Indicator Data (national)'!$B$5:$AQ$14,34,FALSE)&lt;L$149,0,(L$150-VLOOKUP($B94,'Indicator Data (national)'!$B$5:$AQ$14,34,FALSE))/(L$150-L$149)*10)))</f>
        <v>5.0617321591378008</v>
      </c>
      <c r="M94" s="3">
        <f t="shared" si="25"/>
        <v>7.3808660795689001</v>
      </c>
      <c r="N94" s="2" t="str">
        <f>IF(VLOOKUP($B94,'Indicator Data (national)'!$B$5:$AS$14,44,FALSE)="No data","x",IF(VLOOKUP($B94,'Indicator Data (national)'!$B$5:$AS$14,44,FALSE)&gt;N$150,10,IF(VLOOKUP($B94,'Indicator Data (national)'!$B$5:$AS$14,44,FALSE)&lt;N$149,0,10-(N$150-VLOOKUP($B94,'Indicator Data (national)'!$B$5:$AS$14,44,FALSE))/(N$150-N$149)*10)))</f>
        <v>x</v>
      </c>
      <c r="O94" s="2">
        <f>IF(VLOOKUP($B94,'Indicator Data (national)'!$B$5:$AS$14,42,FALSE)="No data","x",IF(VLOOKUP($B94,'Indicator Data (national)'!$B$5:$AS$14,42,FALSE)&gt;O$150,0,IF(VLOOKUP($B94,'Indicator Data (national)'!$B$5:$AS$14,42,FALSE)&lt;O$149,10,(O$150-VLOOKUP($B94,'Indicator Data (national)'!$B$5:$AS$14,42,FALSE))/(O$150-O$149)*10)))</f>
        <v>9.8657718167785227</v>
      </c>
      <c r="P94" s="158">
        <f t="shared" si="26"/>
        <v>9.8657718167785227</v>
      </c>
      <c r="Q94" s="2">
        <f>IF(VLOOKUP($B94,'Indicator Data (national)'!$B$5:$Q$14,16,FALSE)="No data","x",IF(VLOOKUP($B94,'Indicator Data (national)'!$B$5:$Q$14,16,FALSE)&gt;Q$150,0,IF(VLOOKUP($B94,'Indicator Data (national)'!$B$5:$Q$14,16,FALSE)&lt;Q$149,10,(Q$150-VLOOKUP($B94,'Indicator Data (national)'!$B$5:$Q$14,16,FALSE))/(Q$150-Q$149)*10)))</f>
        <v>9.6</v>
      </c>
      <c r="R94" s="158">
        <f t="shared" si="27"/>
        <v>9.6</v>
      </c>
      <c r="S94" s="3">
        <f t="shared" si="18"/>
        <v>9.7328859083892603</v>
      </c>
      <c r="T94" s="2">
        <f>IF(VLOOKUP($B94,'Indicator Data (national)'!$B$5:$BC$14,43,FALSE)="No data","x",IF(VLOOKUP($B94,'Indicator Data (national)'!$B$5:$BC$14,43,FALSE)&gt;T$150,10,IF(VLOOKUP($B94,'Indicator Data (national)'!$B$5:$BC$14,43,FALSE)&lt;T$149,0,(T$150-VLOOKUP($B94,'Indicator Data (national)'!$B$5:$BC$14,43,FALSE))/(T$150-T$149)*10)))</f>
        <v>8.5136604607862196</v>
      </c>
      <c r="U94" s="3">
        <f t="shared" si="28"/>
        <v>8.5136604607862196</v>
      </c>
      <c r="V94" s="5">
        <f t="shared" si="19"/>
        <v>8.5424708162481267</v>
      </c>
      <c r="W94" s="2">
        <f>IF(VLOOKUP($B94,'Indicator Data (national)'!$B$5:$AS$14,37,FALSE)="No data","x",IF(VLOOKUP($B94,'Indicator Data (national)'!$B$5:$AS$14,37,FALSE)&gt;W$150,10,IF(VLOOKUP($B94,'Indicator Data (national)'!$B$5:$AS$14,37,FALSE)&lt;W$149,0,(LOG(W$150)-LOG(VLOOKUP($B94,'Indicator Data (national)'!$B$5:$AS$14,37,FALSE)))/(LOG(W$150)-LOG(W$149))*10)))</f>
        <v>9.6558878146011455</v>
      </c>
      <c r="X94" s="2">
        <f>IF(VLOOKUP($B94,'Indicator Data (national)'!$B$5:$BB$14,45,FALSE)="No data","x",IF(VLOOKUP($B94,'Indicator Data (national)'!$B$5:$BB$14,45,FALSE)&gt;X$150,10,IF(VLOOKUP($B94,'Indicator Data (national)'!$B$5:$BB$14,45,FALSE)&lt;X$149,0,10-(X$150-VLOOKUP($B94,'Indicator Data (national)'!$B$5:$BB$14,45,FALSE))/(X$150-X$149)*10)))</f>
        <v>8.6666666666666661</v>
      </c>
      <c r="Y94" s="2">
        <f>IF(VLOOKUP($B94,'Indicator Data (national)'!$B$5:$BB$14,46,FALSE)="No data","x",IF(VLOOKUP($B94,'Indicator Data (national)'!$B$5:$BB$14,46,FALSE)&gt;Y$150,10,IF(VLOOKUP($B94,'Indicator Data (national)'!$B$5:$BB$14,46,FALSE)&lt;Y$149,0,(Y$150-VLOOKUP($B94,'Indicator Data (national)'!$B$5:$BB$14,46,FALSE))/(Y$150-Y$149)*10)))</f>
        <v>7</v>
      </c>
      <c r="Z94" s="156">
        <f>IF(VLOOKUP($B94,'Indicator Data (national)'!$B$5:$BB$14,48,FALSE)="No data","x",VLOOKUP($B94,'Indicator Data (national)'!$B$5:$BB$14,47,FALSE)*VLOOKUP($B94,'Indicator Data (national)'!$B$5:$BB$14,48,FALSE))</f>
        <v>7.8825963475823286</v>
      </c>
      <c r="AA94" s="2">
        <f t="shared" si="29"/>
        <v>9.2117403652417664</v>
      </c>
      <c r="AB94" s="3">
        <f t="shared" si="30"/>
        <v>8.6335737116273936</v>
      </c>
      <c r="AC94" s="2" t="str">
        <f>IF(VLOOKUP($B94,'Indicator Data (national)'!$B$5:$BB$14,49,FALSE)="No data","x",IF(VLOOKUP($B94,'Indicator Data (national)'!$B$5:$BB$14,49,FALSE)&gt;AC$150,0,IF(VLOOKUP($B94,'Indicator Data (national)'!$B$5:$BB$14,49,FALSE)&lt;AC$149,10,(AC$150-VLOOKUP($B94,'Indicator Data (national)'!$B$5:$BB$14,49,FALSE))/(AC$150-AC$149)*10)))</f>
        <v>x</v>
      </c>
      <c r="AD94" s="2" t="str">
        <f>IF(VLOOKUP($B94,'Indicator Data (national)'!$B$5:$BB$14,50,FALSE)="No data","x",IF(VLOOKUP($B94,'Indicator Data (national)'!$B$5:$BB$14,50,FALSE)&gt;AD$150,0,IF(VLOOKUP($B94,'Indicator Data (national)'!$B$5:$BB$14,50,FALSE)&lt;AD$149,10,(AD$150-VLOOKUP($B94,'Indicator Data (national)'!$B$5:$BB$14,50,FALSE))/(AD$150-AD$149)*10)))</f>
        <v>x</v>
      </c>
      <c r="AE94" s="3" t="str">
        <f t="shared" si="31"/>
        <v>x</v>
      </c>
      <c r="AF94" s="2">
        <f>IF(VLOOKUP($B94,'Indicator Data (national)'!$B$5:$BB$14,51,FALSE)="No data","x",IF(VLOOKUP($B94,'Indicator Data (national)'!$B$5:$BB$14,51,FALSE)&gt;AF$150,0,IF(VLOOKUP($B94,'Indicator Data (national)'!$B$5:$BB$14,51,FALSE)&lt;AF$149,10,(AF$150-VLOOKUP($B94,'Indicator Data (national)'!$B$5:$BB$14,51,FALSE))/(AF$150-AF$149)*10)))</f>
        <v>10</v>
      </c>
      <c r="AG94" s="2">
        <f>IF(VLOOKUP($B94,'Indicator Data (national)'!$B$5:$BB$14,52,FALSE)="No data","x",IF(VLOOKUP($B94,'Indicator Data (national)'!$B$5:$BB$14,52,FALSE)&gt;AG$150,0,IF(VLOOKUP($B94,'Indicator Data (national)'!$B$5:$BB$14,52,FALSE)&lt;AG$149,10,(AG$150-VLOOKUP($B94,'Indicator Data (national)'!$B$5:$BB$14,52,FALSE))/(AG$150-AG$149)*10)))</f>
        <v>3.5586119999999992</v>
      </c>
      <c r="AH94" s="2">
        <f>IF(VLOOKUP($B94,'Indicator Data (national)'!$B$5:$BB$14,53,FALSE)="No data","x",IF(VLOOKUP($B94,'Indicator Data (national)'!$B$5:$BB$14,53,FALSE)&gt;AH$150,0,IF(VLOOKUP($B94,'Indicator Data (national)'!$B$5:$BB$14,53,FALSE)&lt;AH$149,10,(AH$150-VLOOKUP($B94,'Indicator Data (national)'!$B$5:$BB$14,53,FALSE))/(AH$150-AH$149)*10)))</f>
        <v>0</v>
      </c>
      <c r="AI94" s="3">
        <f t="shared" si="32"/>
        <v>4.5195373333333331</v>
      </c>
      <c r="AJ94" s="5">
        <f t="shared" si="20"/>
        <v>6.5765555224803638</v>
      </c>
    </row>
    <row r="95" spans="1:36" s="11" customFormat="1" x14ac:dyDescent="0.25">
      <c r="A95" s="16" t="s">
        <v>470</v>
      </c>
      <c r="B95" s="11" t="s">
        <v>578</v>
      </c>
      <c r="C95" s="16" t="s">
        <v>471</v>
      </c>
      <c r="D95" s="120">
        <f>(VLOOKUP($B95,'Indicator Data (national)'!$B$5:$AP$14,39,FALSE)+VLOOKUP($B95,'Indicator Data (national)'!$B$5:$AP$14,40,FALSE)+VLOOKUP($B95,'Indicator Data (national)'!$B$5:$AP$14,41,FALSE))/VLOOKUP($B95,'Indicator Data (national)'!$B$5:$AP$14,38,FALSE)*1000000</f>
        <v>0.84607019924476812</v>
      </c>
      <c r="E95" s="2">
        <f t="shared" si="21"/>
        <v>5.7696490037761592</v>
      </c>
      <c r="F95" s="3">
        <f t="shared" si="22"/>
        <v>5.7696490037761592</v>
      </c>
      <c r="G95" s="2">
        <f>IF(VLOOKUP($B95,'Indicator Data (national)'!$B$5:$AQ$14,30,FALSE)="No data","x",IF(VLOOKUP($B95,'Indicator Data (national)'!$B$5:$AQ$14,30,FALSE)&gt;G$150,10,IF(VLOOKUP($B95,'Indicator Data (national)'!$B$5:$AQ$14,30,FALSE)&lt;G$149,0,(G$150-VLOOKUP($B95,'Indicator Data (national)'!$B$5:$AQ$14,30,FALSE))/(G$150-G$149)*10)))</f>
        <v>9.2000000000000011</v>
      </c>
      <c r="H95" s="2">
        <f>IF(VLOOKUP($B95,'Indicator Data (national)'!$B$5:$AQ$14,29,FALSE)="No data","x",IF(VLOOKUP($B95,'Indicator Data (national)'!$B$5:$AQ$14,29,FALSE)&gt;H$150,10,IF(VLOOKUP($B95,'Indicator Data (national)'!$B$5:$AQ$14,29,FALSE)&lt;H$149,0,(H$150-VLOOKUP($B95,'Indicator Data (national)'!$B$5:$AQ$14,29,FALSE))/(H$150-H$149)*10)))</f>
        <v>9.4153704643249512</v>
      </c>
      <c r="I95" s="3">
        <f t="shared" si="23"/>
        <v>9.307685232162477</v>
      </c>
      <c r="J95" s="5">
        <f t="shared" si="24"/>
        <v>7.5386671179693181</v>
      </c>
      <c r="K95" s="2">
        <f>IF(VLOOKUP($B95,'Indicator Data (national)'!$B$5:$AQ$14,33,FALSE)="No data","x",IF(VLOOKUP($B95,'Indicator Data (national)'!$B$5:$AQ$14,33,FALSE)&gt;K$150,10,IF(VLOOKUP($B95,'Indicator Data (national)'!$B$5:$AQ$14,33,FALSE)&lt;K$149,0,(K$150-VLOOKUP($B95,'Indicator Data (national)'!$B$5:$AQ$14,33,FALSE))/(K$150-K$149)*10)))</f>
        <v>9.6999999999999993</v>
      </c>
      <c r="L95" s="2">
        <f>IF(VLOOKUP($B95,'Indicator Data (national)'!$B$5:$AQ$14,34,FALSE)="No data","x",IF(VLOOKUP($B95,'Indicator Data (national)'!$B$5:$AQ$14,34,FALSE)&gt;L$150,10,IF(VLOOKUP($B95,'Indicator Data (national)'!$B$5:$AQ$14,34,FALSE)&lt;L$149,0,(L$150-VLOOKUP($B95,'Indicator Data (national)'!$B$5:$AQ$14,34,FALSE))/(L$150-L$149)*10)))</f>
        <v>5.0617321591378008</v>
      </c>
      <c r="M95" s="3">
        <f t="shared" si="25"/>
        <v>7.3808660795689001</v>
      </c>
      <c r="N95" s="2" t="str">
        <f>IF(VLOOKUP($B95,'Indicator Data (national)'!$B$5:$AS$14,44,FALSE)="No data","x",IF(VLOOKUP($B95,'Indicator Data (national)'!$B$5:$AS$14,44,FALSE)&gt;N$150,10,IF(VLOOKUP($B95,'Indicator Data (national)'!$B$5:$AS$14,44,FALSE)&lt;N$149,0,10-(N$150-VLOOKUP($B95,'Indicator Data (national)'!$B$5:$AS$14,44,FALSE))/(N$150-N$149)*10)))</f>
        <v>x</v>
      </c>
      <c r="O95" s="2">
        <f>IF(VLOOKUP($B95,'Indicator Data (national)'!$B$5:$AS$14,42,FALSE)="No data","x",IF(VLOOKUP($B95,'Indicator Data (national)'!$B$5:$AS$14,42,FALSE)&gt;O$150,0,IF(VLOOKUP($B95,'Indicator Data (national)'!$B$5:$AS$14,42,FALSE)&lt;O$149,10,(O$150-VLOOKUP($B95,'Indicator Data (national)'!$B$5:$AS$14,42,FALSE))/(O$150-O$149)*10)))</f>
        <v>9.8657718167785227</v>
      </c>
      <c r="P95" s="158">
        <f t="shared" si="26"/>
        <v>9.8657718167785227</v>
      </c>
      <c r="Q95" s="2">
        <f>IF(VLOOKUP($B95,'Indicator Data (national)'!$B$5:$Q$14,16,FALSE)="No data","x",IF(VLOOKUP($B95,'Indicator Data (national)'!$B$5:$Q$14,16,FALSE)&gt;Q$150,0,IF(VLOOKUP($B95,'Indicator Data (national)'!$B$5:$Q$14,16,FALSE)&lt;Q$149,10,(Q$150-VLOOKUP($B95,'Indicator Data (national)'!$B$5:$Q$14,16,FALSE))/(Q$150-Q$149)*10)))</f>
        <v>9.6</v>
      </c>
      <c r="R95" s="158">
        <f t="shared" si="27"/>
        <v>9.6</v>
      </c>
      <c r="S95" s="3">
        <f t="shared" si="18"/>
        <v>9.7328859083892603</v>
      </c>
      <c r="T95" s="2">
        <f>IF(VLOOKUP($B95,'Indicator Data (national)'!$B$5:$BC$14,43,FALSE)="No data","x",IF(VLOOKUP($B95,'Indicator Data (national)'!$B$5:$BC$14,43,FALSE)&gt;T$150,10,IF(VLOOKUP($B95,'Indicator Data (national)'!$B$5:$BC$14,43,FALSE)&lt;T$149,0,(T$150-VLOOKUP($B95,'Indicator Data (national)'!$B$5:$BC$14,43,FALSE))/(T$150-T$149)*10)))</f>
        <v>8.5136604607862196</v>
      </c>
      <c r="U95" s="3">
        <f t="shared" si="28"/>
        <v>8.5136604607862196</v>
      </c>
      <c r="V95" s="5">
        <f t="shared" si="19"/>
        <v>8.5424708162481267</v>
      </c>
      <c r="W95" s="2">
        <f>IF(VLOOKUP($B95,'Indicator Data (national)'!$B$5:$AS$14,37,FALSE)="No data","x",IF(VLOOKUP($B95,'Indicator Data (national)'!$B$5:$AS$14,37,FALSE)&gt;W$150,10,IF(VLOOKUP($B95,'Indicator Data (national)'!$B$5:$AS$14,37,FALSE)&lt;W$149,0,(LOG(W$150)-LOG(VLOOKUP($B95,'Indicator Data (national)'!$B$5:$AS$14,37,FALSE)))/(LOG(W$150)-LOG(W$149))*10)))</f>
        <v>9.6558878146011455</v>
      </c>
      <c r="X95" s="2">
        <f>IF(VLOOKUP($B95,'Indicator Data (national)'!$B$5:$BB$14,45,FALSE)="No data","x",IF(VLOOKUP($B95,'Indicator Data (national)'!$B$5:$BB$14,45,FALSE)&gt;X$150,10,IF(VLOOKUP($B95,'Indicator Data (national)'!$B$5:$BB$14,45,FALSE)&lt;X$149,0,10-(X$150-VLOOKUP($B95,'Indicator Data (national)'!$B$5:$BB$14,45,FALSE))/(X$150-X$149)*10)))</f>
        <v>8.6666666666666661</v>
      </c>
      <c r="Y95" s="2">
        <f>IF(VLOOKUP($B95,'Indicator Data (national)'!$B$5:$BB$14,46,FALSE)="No data","x",IF(VLOOKUP($B95,'Indicator Data (national)'!$B$5:$BB$14,46,FALSE)&gt;Y$150,10,IF(VLOOKUP($B95,'Indicator Data (national)'!$B$5:$BB$14,46,FALSE)&lt;Y$149,0,(Y$150-VLOOKUP($B95,'Indicator Data (national)'!$B$5:$BB$14,46,FALSE))/(Y$150-Y$149)*10)))</f>
        <v>7</v>
      </c>
      <c r="Z95" s="156">
        <f>IF(VLOOKUP($B95,'Indicator Data (national)'!$B$5:$BB$14,48,FALSE)="No data","x",VLOOKUP($B95,'Indicator Data (national)'!$B$5:$BB$14,47,FALSE)*VLOOKUP($B95,'Indicator Data (national)'!$B$5:$BB$14,48,FALSE))</f>
        <v>7.8825963475823286</v>
      </c>
      <c r="AA95" s="2">
        <f t="shared" si="29"/>
        <v>9.2117403652417664</v>
      </c>
      <c r="AB95" s="3">
        <f t="shared" si="30"/>
        <v>8.6335737116273936</v>
      </c>
      <c r="AC95" s="2" t="str">
        <f>IF(VLOOKUP($B95,'Indicator Data (national)'!$B$5:$BB$14,49,FALSE)="No data","x",IF(VLOOKUP($B95,'Indicator Data (national)'!$B$5:$BB$14,49,FALSE)&gt;AC$150,0,IF(VLOOKUP($B95,'Indicator Data (national)'!$B$5:$BB$14,49,FALSE)&lt;AC$149,10,(AC$150-VLOOKUP($B95,'Indicator Data (national)'!$B$5:$BB$14,49,FALSE))/(AC$150-AC$149)*10)))</f>
        <v>x</v>
      </c>
      <c r="AD95" s="2" t="str">
        <f>IF(VLOOKUP($B95,'Indicator Data (national)'!$B$5:$BB$14,50,FALSE)="No data","x",IF(VLOOKUP($B95,'Indicator Data (national)'!$B$5:$BB$14,50,FALSE)&gt;AD$150,0,IF(VLOOKUP($B95,'Indicator Data (national)'!$B$5:$BB$14,50,FALSE)&lt;AD$149,10,(AD$150-VLOOKUP($B95,'Indicator Data (national)'!$B$5:$BB$14,50,FALSE))/(AD$150-AD$149)*10)))</f>
        <v>x</v>
      </c>
      <c r="AE95" s="3" t="str">
        <f t="shared" si="31"/>
        <v>x</v>
      </c>
      <c r="AF95" s="2">
        <f>IF(VLOOKUP($B95,'Indicator Data (national)'!$B$5:$BB$14,51,FALSE)="No data","x",IF(VLOOKUP($B95,'Indicator Data (national)'!$B$5:$BB$14,51,FALSE)&gt;AF$150,0,IF(VLOOKUP($B95,'Indicator Data (national)'!$B$5:$BB$14,51,FALSE)&lt;AF$149,10,(AF$150-VLOOKUP($B95,'Indicator Data (national)'!$B$5:$BB$14,51,FALSE))/(AF$150-AF$149)*10)))</f>
        <v>10</v>
      </c>
      <c r="AG95" s="2">
        <f>IF(VLOOKUP($B95,'Indicator Data (national)'!$B$5:$BB$14,52,FALSE)="No data","x",IF(VLOOKUP($B95,'Indicator Data (national)'!$B$5:$BB$14,52,FALSE)&gt;AG$150,0,IF(VLOOKUP($B95,'Indicator Data (national)'!$B$5:$BB$14,52,FALSE)&lt;AG$149,10,(AG$150-VLOOKUP($B95,'Indicator Data (national)'!$B$5:$BB$14,52,FALSE))/(AG$150-AG$149)*10)))</f>
        <v>3.5586119999999992</v>
      </c>
      <c r="AH95" s="2">
        <f>IF(VLOOKUP($B95,'Indicator Data (national)'!$B$5:$BB$14,53,FALSE)="No data","x",IF(VLOOKUP($B95,'Indicator Data (national)'!$B$5:$BB$14,53,FALSE)&gt;AH$150,0,IF(VLOOKUP($B95,'Indicator Data (national)'!$B$5:$BB$14,53,FALSE)&lt;AH$149,10,(AH$150-VLOOKUP($B95,'Indicator Data (national)'!$B$5:$BB$14,53,FALSE))/(AH$150-AH$149)*10)))</f>
        <v>0</v>
      </c>
      <c r="AI95" s="3">
        <f t="shared" si="32"/>
        <v>4.5195373333333331</v>
      </c>
      <c r="AJ95" s="5">
        <f t="shared" si="20"/>
        <v>6.5765555224803638</v>
      </c>
    </row>
    <row r="96" spans="1:36" s="11" customFormat="1" x14ac:dyDescent="0.25">
      <c r="A96" s="16" t="s">
        <v>472</v>
      </c>
      <c r="B96" s="11" t="s">
        <v>578</v>
      </c>
      <c r="C96" s="16" t="s">
        <v>473</v>
      </c>
      <c r="D96" s="120">
        <f>(VLOOKUP($B96,'Indicator Data (national)'!$B$5:$AP$14,39,FALSE)+VLOOKUP($B96,'Indicator Data (national)'!$B$5:$AP$14,40,FALSE)+VLOOKUP($B96,'Indicator Data (national)'!$B$5:$AP$14,41,FALSE))/VLOOKUP($B96,'Indicator Data (national)'!$B$5:$AP$14,38,FALSE)*1000000</f>
        <v>0.84607019924476812</v>
      </c>
      <c r="E96" s="2">
        <f t="shared" si="21"/>
        <v>5.7696490037761592</v>
      </c>
      <c r="F96" s="3">
        <f t="shared" si="22"/>
        <v>5.7696490037761592</v>
      </c>
      <c r="G96" s="2">
        <f>IF(VLOOKUP($B96,'Indicator Data (national)'!$B$5:$AQ$14,30,FALSE)="No data","x",IF(VLOOKUP($B96,'Indicator Data (national)'!$B$5:$AQ$14,30,FALSE)&gt;G$150,10,IF(VLOOKUP($B96,'Indicator Data (national)'!$B$5:$AQ$14,30,FALSE)&lt;G$149,0,(G$150-VLOOKUP($B96,'Indicator Data (national)'!$B$5:$AQ$14,30,FALSE))/(G$150-G$149)*10)))</f>
        <v>9.2000000000000011</v>
      </c>
      <c r="H96" s="2">
        <f>IF(VLOOKUP($B96,'Indicator Data (national)'!$B$5:$AQ$14,29,FALSE)="No data","x",IF(VLOOKUP($B96,'Indicator Data (national)'!$B$5:$AQ$14,29,FALSE)&gt;H$150,10,IF(VLOOKUP($B96,'Indicator Data (national)'!$B$5:$AQ$14,29,FALSE)&lt;H$149,0,(H$150-VLOOKUP($B96,'Indicator Data (national)'!$B$5:$AQ$14,29,FALSE))/(H$150-H$149)*10)))</f>
        <v>9.4153704643249512</v>
      </c>
      <c r="I96" s="3">
        <f t="shared" si="23"/>
        <v>9.307685232162477</v>
      </c>
      <c r="J96" s="5">
        <f t="shared" si="24"/>
        <v>7.5386671179693181</v>
      </c>
      <c r="K96" s="2">
        <f>IF(VLOOKUP($B96,'Indicator Data (national)'!$B$5:$AQ$14,33,FALSE)="No data","x",IF(VLOOKUP($B96,'Indicator Data (national)'!$B$5:$AQ$14,33,FALSE)&gt;K$150,10,IF(VLOOKUP($B96,'Indicator Data (national)'!$B$5:$AQ$14,33,FALSE)&lt;K$149,0,(K$150-VLOOKUP($B96,'Indicator Data (national)'!$B$5:$AQ$14,33,FALSE))/(K$150-K$149)*10)))</f>
        <v>9.6999999999999993</v>
      </c>
      <c r="L96" s="2">
        <f>IF(VLOOKUP($B96,'Indicator Data (national)'!$B$5:$AQ$14,34,FALSE)="No data","x",IF(VLOOKUP($B96,'Indicator Data (national)'!$B$5:$AQ$14,34,FALSE)&gt;L$150,10,IF(VLOOKUP($B96,'Indicator Data (national)'!$B$5:$AQ$14,34,FALSE)&lt;L$149,0,(L$150-VLOOKUP($B96,'Indicator Data (national)'!$B$5:$AQ$14,34,FALSE))/(L$150-L$149)*10)))</f>
        <v>5.0617321591378008</v>
      </c>
      <c r="M96" s="3">
        <f t="shared" si="25"/>
        <v>7.3808660795689001</v>
      </c>
      <c r="N96" s="2" t="str">
        <f>IF(VLOOKUP($B96,'Indicator Data (national)'!$B$5:$AS$14,44,FALSE)="No data","x",IF(VLOOKUP($B96,'Indicator Data (national)'!$B$5:$AS$14,44,FALSE)&gt;N$150,10,IF(VLOOKUP($B96,'Indicator Data (national)'!$B$5:$AS$14,44,FALSE)&lt;N$149,0,10-(N$150-VLOOKUP($B96,'Indicator Data (national)'!$B$5:$AS$14,44,FALSE))/(N$150-N$149)*10)))</f>
        <v>x</v>
      </c>
      <c r="O96" s="2">
        <f>IF(VLOOKUP($B96,'Indicator Data (national)'!$B$5:$AS$14,42,FALSE)="No data","x",IF(VLOOKUP($B96,'Indicator Data (national)'!$B$5:$AS$14,42,FALSE)&gt;O$150,0,IF(VLOOKUP($B96,'Indicator Data (national)'!$B$5:$AS$14,42,FALSE)&lt;O$149,10,(O$150-VLOOKUP($B96,'Indicator Data (national)'!$B$5:$AS$14,42,FALSE))/(O$150-O$149)*10)))</f>
        <v>9.8657718167785227</v>
      </c>
      <c r="P96" s="158">
        <f t="shared" si="26"/>
        <v>9.8657718167785227</v>
      </c>
      <c r="Q96" s="2">
        <f>IF(VLOOKUP($B96,'Indicator Data (national)'!$B$5:$Q$14,16,FALSE)="No data","x",IF(VLOOKUP($B96,'Indicator Data (national)'!$B$5:$Q$14,16,FALSE)&gt;Q$150,0,IF(VLOOKUP($B96,'Indicator Data (national)'!$B$5:$Q$14,16,FALSE)&lt;Q$149,10,(Q$150-VLOOKUP($B96,'Indicator Data (national)'!$B$5:$Q$14,16,FALSE))/(Q$150-Q$149)*10)))</f>
        <v>9.6</v>
      </c>
      <c r="R96" s="158">
        <f t="shared" si="27"/>
        <v>9.6</v>
      </c>
      <c r="S96" s="3">
        <f t="shared" si="18"/>
        <v>9.7328859083892603</v>
      </c>
      <c r="T96" s="2">
        <f>IF(VLOOKUP($B96,'Indicator Data (national)'!$B$5:$BC$14,43,FALSE)="No data","x",IF(VLOOKUP($B96,'Indicator Data (national)'!$B$5:$BC$14,43,FALSE)&gt;T$150,10,IF(VLOOKUP($B96,'Indicator Data (national)'!$B$5:$BC$14,43,FALSE)&lt;T$149,0,(T$150-VLOOKUP($B96,'Indicator Data (national)'!$B$5:$BC$14,43,FALSE))/(T$150-T$149)*10)))</f>
        <v>8.5136604607862196</v>
      </c>
      <c r="U96" s="3">
        <f t="shared" si="28"/>
        <v>8.5136604607862196</v>
      </c>
      <c r="V96" s="5">
        <f t="shared" si="19"/>
        <v>8.5424708162481267</v>
      </c>
      <c r="W96" s="2">
        <f>IF(VLOOKUP($B96,'Indicator Data (national)'!$B$5:$AS$14,37,FALSE)="No data","x",IF(VLOOKUP($B96,'Indicator Data (national)'!$B$5:$AS$14,37,FALSE)&gt;W$150,10,IF(VLOOKUP($B96,'Indicator Data (national)'!$B$5:$AS$14,37,FALSE)&lt;W$149,0,(LOG(W$150)-LOG(VLOOKUP($B96,'Indicator Data (national)'!$B$5:$AS$14,37,FALSE)))/(LOG(W$150)-LOG(W$149))*10)))</f>
        <v>9.6558878146011455</v>
      </c>
      <c r="X96" s="2">
        <f>IF(VLOOKUP($B96,'Indicator Data (national)'!$B$5:$BB$14,45,FALSE)="No data","x",IF(VLOOKUP($B96,'Indicator Data (national)'!$B$5:$BB$14,45,FALSE)&gt;X$150,10,IF(VLOOKUP($B96,'Indicator Data (national)'!$B$5:$BB$14,45,FALSE)&lt;X$149,0,10-(X$150-VLOOKUP($B96,'Indicator Data (national)'!$B$5:$BB$14,45,FALSE))/(X$150-X$149)*10)))</f>
        <v>8.6666666666666661</v>
      </c>
      <c r="Y96" s="2">
        <f>IF(VLOOKUP($B96,'Indicator Data (national)'!$B$5:$BB$14,46,FALSE)="No data","x",IF(VLOOKUP($B96,'Indicator Data (national)'!$B$5:$BB$14,46,FALSE)&gt;Y$150,10,IF(VLOOKUP($B96,'Indicator Data (national)'!$B$5:$BB$14,46,FALSE)&lt;Y$149,0,(Y$150-VLOOKUP($B96,'Indicator Data (national)'!$B$5:$BB$14,46,FALSE))/(Y$150-Y$149)*10)))</f>
        <v>7</v>
      </c>
      <c r="Z96" s="156">
        <f>IF(VLOOKUP($B96,'Indicator Data (national)'!$B$5:$BB$14,48,FALSE)="No data","x",VLOOKUP($B96,'Indicator Data (national)'!$B$5:$BB$14,47,FALSE)*VLOOKUP($B96,'Indicator Data (national)'!$B$5:$BB$14,48,FALSE))</f>
        <v>7.8825963475823286</v>
      </c>
      <c r="AA96" s="2">
        <f t="shared" si="29"/>
        <v>9.2117403652417664</v>
      </c>
      <c r="AB96" s="3">
        <f t="shared" si="30"/>
        <v>8.6335737116273936</v>
      </c>
      <c r="AC96" s="2" t="str">
        <f>IF(VLOOKUP($B96,'Indicator Data (national)'!$B$5:$BB$14,49,FALSE)="No data","x",IF(VLOOKUP($B96,'Indicator Data (national)'!$B$5:$BB$14,49,FALSE)&gt;AC$150,0,IF(VLOOKUP($B96,'Indicator Data (national)'!$B$5:$BB$14,49,FALSE)&lt;AC$149,10,(AC$150-VLOOKUP($B96,'Indicator Data (national)'!$B$5:$BB$14,49,FALSE))/(AC$150-AC$149)*10)))</f>
        <v>x</v>
      </c>
      <c r="AD96" s="2" t="str">
        <f>IF(VLOOKUP($B96,'Indicator Data (national)'!$B$5:$BB$14,50,FALSE)="No data","x",IF(VLOOKUP($B96,'Indicator Data (national)'!$B$5:$BB$14,50,FALSE)&gt;AD$150,0,IF(VLOOKUP($B96,'Indicator Data (national)'!$B$5:$BB$14,50,FALSE)&lt;AD$149,10,(AD$150-VLOOKUP($B96,'Indicator Data (national)'!$B$5:$BB$14,50,FALSE))/(AD$150-AD$149)*10)))</f>
        <v>x</v>
      </c>
      <c r="AE96" s="3" t="str">
        <f t="shared" si="31"/>
        <v>x</v>
      </c>
      <c r="AF96" s="2">
        <f>IF(VLOOKUP($B96,'Indicator Data (national)'!$B$5:$BB$14,51,FALSE)="No data","x",IF(VLOOKUP($B96,'Indicator Data (national)'!$B$5:$BB$14,51,FALSE)&gt;AF$150,0,IF(VLOOKUP($B96,'Indicator Data (national)'!$B$5:$BB$14,51,FALSE)&lt;AF$149,10,(AF$150-VLOOKUP($B96,'Indicator Data (national)'!$B$5:$BB$14,51,FALSE))/(AF$150-AF$149)*10)))</f>
        <v>10</v>
      </c>
      <c r="AG96" s="2">
        <f>IF(VLOOKUP($B96,'Indicator Data (national)'!$B$5:$BB$14,52,FALSE)="No data","x",IF(VLOOKUP($B96,'Indicator Data (national)'!$B$5:$BB$14,52,FALSE)&gt;AG$150,0,IF(VLOOKUP($B96,'Indicator Data (national)'!$B$5:$BB$14,52,FALSE)&lt;AG$149,10,(AG$150-VLOOKUP($B96,'Indicator Data (national)'!$B$5:$BB$14,52,FALSE))/(AG$150-AG$149)*10)))</f>
        <v>3.5586119999999992</v>
      </c>
      <c r="AH96" s="2">
        <f>IF(VLOOKUP($B96,'Indicator Data (national)'!$B$5:$BB$14,53,FALSE)="No data","x",IF(VLOOKUP($B96,'Indicator Data (national)'!$B$5:$BB$14,53,FALSE)&gt;AH$150,0,IF(VLOOKUP($B96,'Indicator Data (national)'!$B$5:$BB$14,53,FALSE)&lt;AH$149,10,(AH$150-VLOOKUP($B96,'Indicator Data (national)'!$B$5:$BB$14,53,FALSE))/(AH$150-AH$149)*10)))</f>
        <v>0</v>
      </c>
      <c r="AI96" s="3">
        <f t="shared" si="32"/>
        <v>4.5195373333333331</v>
      </c>
      <c r="AJ96" s="5">
        <f t="shared" si="20"/>
        <v>6.5765555224803638</v>
      </c>
    </row>
    <row r="97" spans="1:36" s="11" customFormat="1" x14ac:dyDescent="0.25">
      <c r="A97" s="16" t="s">
        <v>474</v>
      </c>
      <c r="B97" s="11" t="s">
        <v>578</v>
      </c>
      <c r="C97" s="16" t="s">
        <v>475</v>
      </c>
      <c r="D97" s="120">
        <f>(VLOOKUP($B97,'Indicator Data (national)'!$B$5:$AP$14,39,FALSE)+VLOOKUP($B97,'Indicator Data (national)'!$B$5:$AP$14,40,FALSE)+VLOOKUP($B97,'Indicator Data (national)'!$B$5:$AP$14,41,FALSE))/VLOOKUP($B97,'Indicator Data (national)'!$B$5:$AP$14,38,FALSE)*1000000</f>
        <v>0.84607019924476812</v>
      </c>
      <c r="E97" s="2">
        <f t="shared" si="21"/>
        <v>5.7696490037761592</v>
      </c>
      <c r="F97" s="3">
        <f t="shared" si="22"/>
        <v>5.7696490037761592</v>
      </c>
      <c r="G97" s="2">
        <f>IF(VLOOKUP($B97,'Indicator Data (national)'!$B$5:$AQ$14,30,FALSE)="No data","x",IF(VLOOKUP($B97,'Indicator Data (national)'!$B$5:$AQ$14,30,FALSE)&gt;G$150,10,IF(VLOOKUP($B97,'Indicator Data (national)'!$B$5:$AQ$14,30,FALSE)&lt;G$149,0,(G$150-VLOOKUP($B97,'Indicator Data (national)'!$B$5:$AQ$14,30,FALSE))/(G$150-G$149)*10)))</f>
        <v>9.2000000000000011</v>
      </c>
      <c r="H97" s="2">
        <f>IF(VLOOKUP($B97,'Indicator Data (national)'!$B$5:$AQ$14,29,FALSE)="No data","x",IF(VLOOKUP($B97,'Indicator Data (national)'!$B$5:$AQ$14,29,FALSE)&gt;H$150,10,IF(VLOOKUP($B97,'Indicator Data (national)'!$B$5:$AQ$14,29,FALSE)&lt;H$149,0,(H$150-VLOOKUP($B97,'Indicator Data (national)'!$B$5:$AQ$14,29,FALSE))/(H$150-H$149)*10)))</f>
        <v>9.4153704643249512</v>
      </c>
      <c r="I97" s="3">
        <f t="shared" si="23"/>
        <v>9.307685232162477</v>
      </c>
      <c r="J97" s="5">
        <f t="shared" si="24"/>
        <v>7.5386671179693181</v>
      </c>
      <c r="K97" s="2">
        <f>IF(VLOOKUP($B97,'Indicator Data (national)'!$B$5:$AQ$14,33,FALSE)="No data","x",IF(VLOOKUP($B97,'Indicator Data (national)'!$B$5:$AQ$14,33,FALSE)&gt;K$150,10,IF(VLOOKUP($B97,'Indicator Data (national)'!$B$5:$AQ$14,33,FALSE)&lt;K$149,0,(K$150-VLOOKUP($B97,'Indicator Data (national)'!$B$5:$AQ$14,33,FALSE))/(K$150-K$149)*10)))</f>
        <v>9.6999999999999993</v>
      </c>
      <c r="L97" s="2">
        <f>IF(VLOOKUP($B97,'Indicator Data (national)'!$B$5:$AQ$14,34,FALSE)="No data","x",IF(VLOOKUP($B97,'Indicator Data (national)'!$B$5:$AQ$14,34,FALSE)&gt;L$150,10,IF(VLOOKUP($B97,'Indicator Data (national)'!$B$5:$AQ$14,34,FALSE)&lt;L$149,0,(L$150-VLOOKUP($B97,'Indicator Data (national)'!$B$5:$AQ$14,34,FALSE))/(L$150-L$149)*10)))</f>
        <v>5.0617321591378008</v>
      </c>
      <c r="M97" s="3">
        <f t="shared" si="25"/>
        <v>7.3808660795689001</v>
      </c>
      <c r="N97" s="2" t="str">
        <f>IF(VLOOKUP($B97,'Indicator Data (national)'!$B$5:$AS$14,44,FALSE)="No data","x",IF(VLOOKUP($B97,'Indicator Data (national)'!$B$5:$AS$14,44,FALSE)&gt;N$150,10,IF(VLOOKUP($B97,'Indicator Data (national)'!$B$5:$AS$14,44,FALSE)&lt;N$149,0,10-(N$150-VLOOKUP($B97,'Indicator Data (national)'!$B$5:$AS$14,44,FALSE))/(N$150-N$149)*10)))</f>
        <v>x</v>
      </c>
      <c r="O97" s="2">
        <f>IF(VLOOKUP($B97,'Indicator Data (national)'!$B$5:$AS$14,42,FALSE)="No data","x",IF(VLOOKUP($B97,'Indicator Data (national)'!$B$5:$AS$14,42,FALSE)&gt;O$150,0,IF(VLOOKUP($B97,'Indicator Data (national)'!$B$5:$AS$14,42,FALSE)&lt;O$149,10,(O$150-VLOOKUP($B97,'Indicator Data (national)'!$B$5:$AS$14,42,FALSE))/(O$150-O$149)*10)))</f>
        <v>9.8657718167785227</v>
      </c>
      <c r="P97" s="158">
        <f t="shared" si="26"/>
        <v>9.8657718167785227</v>
      </c>
      <c r="Q97" s="2">
        <f>IF(VLOOKUP($B97,'Indicator Data (national)'!$B$5:$Q$14,16,FALSE)="No data","x",IF(VLOOKUP($B97,'Indicator Data (national)'!$B$5:$Q$14,16,FALSE)&gt;Q$150,0,IF(VLOOKUP($B97,'Indicator Data (national)'!$B$5:$Q$14,16,FALSE)&lt;Q$149,10,(Q$150-VLOOKUP($B97,'Indicator Data (national)'!$B$5:$Q$14,16,FALSE))/(Q$150-Q$149)*10)))</f>
        <v>9.6</v>
      </c>
      <c r="R97" s="158">
        <f t="shared" si="27"/>
        <v>9.6</v>
      </c>
      <c r="S97" s="3">
        <f t="shared" si="18"/>
        <v>9.7328859083892603</v>
      </c>
      <c r="T97" s="2">
        <f>IF(VLOOKUP($B97,'Indicator Data (national)'!$B$5:$BC$14,43,FALSE)="No data","x",IF(VLOOKUP($B97,'Indicator Data (national)'!$B$5:$BC$14,43,FALSE)&gt;T$150,10,IF(VLOOKUP($B97,'Indicator Data (national)'!$B$5:$BC$14,43,FALSE)&lt;T$149,0,(T$150-VLOOKUP($B97,'Indicator Data (national)'!$B$5:$BC$14,43,FALSE))/(T$150-T$149)*10)))</f>
        <v>8.5136604607862196</v>
      </c>
      <c r="U97" s="3">
        <f t="shared" si="28"/>
        <v>8.5136604607862196</v>
      </c>
      <c r="V97" s="5">
        <f t="shared" si="19"/>
        <v>8.5424708162481267</v>
      </c>
      <c r="W97" s="2">
        <f>IF(VLOOKUP($B97,'Indicator Data (national)'!$B$5:$AS$14,37,FALSE)="No data","x",IF(VLOOKUP($B97,'Indicator Data (national)'!$B$5:$AS$14,37,FALSE)&gt;W$150,10,IF(VLOOKUP($B97,'Indicator Data (national)'!$B$5:$AS$14,37,FALSE)&lt;W$149,0,(LOG(W$150)-LOG(VLOOKUP($B97,'Indicator Data (national)'!$B$5:$AS$14,37,FALSE)))/(LOG(W$150)-LOG(W$149))*10)))</f>
        <v>9.6558878146011455</v>
      </c>
      <c r="X97" s="2">
        <f>IF(VLOOKUP($B97,'Indicator Data (national)'!$B$5:$BB$14,45,FALSE)="No data","x",IF(VLOOKUP($B97,'Indicator Data (national)'!$B$5:$BB$14,45,FALSE)&gt;X$150,10,IF(VLOOKUP($B97,'Indicator Data (national)'!$B$5:$BB$14,45,FALSE)&lt;X$149,0,10-(X$150-VLOOKUP($B97,'Indicator Data (national)'!$B$5:$BB$14,45,FALSE))/(X$150-X$149)*10)))</f>
        <v>8.6666666666666661</v>
      </c>
      <c r="Y97" s="2">
        <f>IF(VLOOKUP($B97,'Indicator Data (national)'!$B$5:$BB$14,46,FALSE)="No data","x",IF(VLOOKUP($B97,'Indicator Data (national)'!$B$5:$BB$14,46,FALSE)&gt;Y$150,10,IF(VLOOKUP($B97,'Indicator Data (national)'!$B$5:$BB$14,46,FALSE)&lt;Y$149,0,(Y$150-VLOOKUP($B97,'Indicator Data (national)'!$B$5:$BB$14,46,FALSE))/(Y$150-Y$149)*10)))</f>
        <v>7</v>
      </c>
      <c r="Z97" s="156">
        <f>IF(VLOOKUP($B97,'Indicator Data (national)'!$B$5:$BB$14,48,FALSE)="No data","x",VLOOKUP($B97,'Indicator Data (national)'!$B$5:$BB$14,47,FALSE)*VLOOKUP($B97,'Indicator Data (national)'!$B$5:$BB$14,48,FALSE))</f>
        <v>7.8825963475823286</v>
      </c>
      <c r="AA97" s="2">
        <f t="shared" si="29"/>
        <v>9.2117403652417664</v>
      </c>
      <c r="AB97" s="3">
        <f t="shared" si="30"/>
        <v>8.6335737116273936</v>
      </c>
      <c r="AC97" s="2" t="str">
        <f>IF(VLOOKUP($B97,'Indicator Data (national)'!$B$5:$BB$14,49,FALSE)="No data","x",IF(VLOOKUP($B97,'Indicator Data (national)'!$B$5:$BB$14,49,FALSE)&gt;AC$150,0,IF(VLOOKUP($B97,'Indicator Data (national)'!$B$5:$BB$14,49,FALSE)&lt;AC$149,10,(AC$150-VLOOKUP($B97,'Indicator Data (national)'!$B$5:$BB$14,49,FALSE))/(AC$150-AC$149)*10)))</f>
        <v>x</v>
      </c>
      <c r="AD97" s="2" t="str">
        <f>IF(VLOOKUP($B97,'Indicator Data (national)'!$B$5:$BB$14,50,FALSE)="No data","x",IF(VLOOKUP($B97,'Indicator Data (national)'!$B$5:$BB$14,50,FALSE)&gt;AD$150,0,IF(VLOOKUP($B97,'Indicator Data (national)'!$B$5:$BB$14,50,FALSE)&lt;AD$149,10,(AD$150-VLOOKUP($B97,'Indicator Data (national)'!$B$5:$BB$14,50,FALSE))/(AD$150-AD$149)*10)))</f>
        <v>x</v>
      </c>
      <c r="AE97" s="3" t="str">
        <f t="shared" si="31"/>
        <v>x</v>
      </c>
      <c r="AF97" s="2">
        <f>IF(VLOOKUP($B97,'Indicator Data (national)'!$B$5:$BB$14,51,FALSE)="No data","x",IF(VLOOKUP($B97,'Indicator Data (national)'!$B$5:$BB$14,51,FALSE)&gt;AF$150,0,IF(VLOOKUP($B97,'Indicator Data (national)'!$B$5:$BB$14,51,FALSE)&lt;AF$149,10,(AF$150-VLOOKUP($B97,'Indicator Data (national)'!$B$5:$BB$14,51,FALSE))/(AF$150-AF$149)*10)))</f>
        <v>10</v>
      </c>
      <c r="AG97" s="2">
        <f>IF(VLOOKUP($B97,'Indicator Data (national)'!$B$5:$BB$14,52,FALSE)="No data","x",IF(VLOOKUP($B97,'Indicator Data (national)'!$B$5:$BB$14,52,FALSE)&gt;AG$150,0,IF(VLOOKUP($B97,'Indicator Data (national)'!$B$5:$BB$14,52,FALSE)&lt;AG$149,10,(AG$150-VLOOKUP($B97,'Indicator Data (national)'!$B$5:$BB$14,52,FALSE))/(AG$150-AG$149)*10)))</f>
        <v>3.5586119999999992</v>
      </c>
      <c r="AH97" s="2">
        <f>IF(VLOOKUP($B97,'Indicator Data (national)'!$B$5:$BB$14,53,FALSE)="No data","x",IF(VLOOKUP($B97,'Indicator Data (national)'!$B$5:$BB$14,53,FALSE)&gt;AH$150,0,IF(VLOOKUP($B97,'Indicator Data (national)'!$B$5:$BB$14,53,FALSE)&lt;AH$149,10,(AH$150-VLOOKUP($B97,'Indicator Data (national)'!$B$5:$BB$14,53,FALSE))/(AH$150-AH$149)*10)))</f>
        <v>0</v>
      </c>
      <c r="AI97" s="3">
        <f t="shared" si="32"/>
        <v>4.5195373333333331</v>
      </c>
      <c r="AJ97" s="5">
        <f t="shared" si="20"/>
        <v>6.5765555224803638</v>
      </c>
    </row>
    <row r="98" spans="1:36" s="11" customFormat="1" x14ac:dyDescent="0.25">
      <c r="A98" s="16" t="s">
        <v>476</v>
      </c>
      <c r="B98" s="11" t="s">
        <v>578</v>
      </c>
      <c r="C98" s="16" t="s">
        <v>477</v>
      </c>
      <c r="D98" s="120">
        <f>(VLOOKUP($B98,'Indicator Data (national)'!$B$5:$AP$14,39,FALSE)+VLOOKUP($B98,'Indicator Data (national)'!$B$5:$AP$14,40,FALSE)+VLOOKUP($B98,'Indicator Data (national)'!$B$5:$AP$14,41,FALSE))/VLOOKUP($B98,'Indicator Data (national)'!$B$5:$AP$14,38,FALSE)*1000000</f>
        <v>0.84607019924476812</v>
      </c>
      <c r="E98" s="2">
        <f t="shared" si="21"/>
        <v>5.7696490037761592</v>
      </c>
      <c r="F98" s="3">
        <f t="shared" si="22"/>
        <v>5.7696490037761592</v>
      </c>
      <c r="G98" s="2">
        <f>IF(VLOOKUP($B98,'Indicator Data (national)'!$B$5:$AQ$14,30,FALSE)="No data","x",IF(VLOOKUP($B98,'Indicator Data (national)'!$B$5:$AQ$14,30,FALSE)&gt;G$150,10,IF(VLOOKUP($B98,'Indicator Data (national)'!$B$5:$AQ$14,30,FALSE)&lt;G$149,0,(G$150-VLOOKUP($B98,'Indicator Data (national)'!$B$5:$AQ$14,30,FALSE))/(G$150-G$149)*10)))</f>
        <v>9.2000000000000011</v>
      </c>
      <c r="H98" s="2">
        <f>IF(VLOOKUP($B98,'Indicator Data (national)'!$B$5:$AQ$14,29,FALSE)="No data","x",IF(VLOOKUP($B98,'Indicator Data (national)'!$B$5:$AQ$14,29,FALSE)&gt;H$150,10,IF(VLOOKUP($B98,'Indicator Data (national)'!$B$5:$AQ$14,29,FALSE)&lt;H$149,0,(H$150-VLOOKUP($B98,'Indicator Data (national)'!$B$5:$AQ$14,29,FALSE))/(H$150-H$149)*10)))</f>
        <v>9.4153704643249512</v>
      </c>
      <c r="I98" s="3">
        <f t="shared" si="23"/>
        <v>9.307685232162477</v>
      </c>
      <c r="J98" s="5">
        <f t="shared" si="24"/>
        <v>7.5386671179693181</v>
      </c>
      <c r="K98" s="2">
        <f>IF(VLOOKUP($B98,'Indicator Data (national)'!$B$5:$AQ$14,33,FALSE)="No data","x",IF(VLOOKUP($B98,'Indicator Data (national)'!$B$5:$AQ$14,33,FALSE)&gt;K$150,10,IF(VLOOKUP($B98,'Indicator Data (national)'!$B$5:$AQ$14,33,FALSE)&lt;K$149,0,(K$150-VLOOKUP($B98,'Indicator Data (national)'!$B$5:$AQ$14,33,FALSE))/(K$150-K$149)*10)))</f>
        <v>9.6999999999999993</v>
      </c>
      <c r="L98" s="2">
        <f>IF(VLOOKUP($B98,'Indicator Data (national)'!$B$5:$AQ$14,34,FALSE)="No data","x",IF(VLOOKUP($B98,'Indicator Data (national)'!$B$5:$AQ$14,34,FALSE)&gt;L$150,10,IF(VLOOKUP($B98,'Indicator Data (national)'!$B$5:$AQ$14,34,FALSE)&lt;L$149,0,(L$150-VLOOKUP($B98,'Indicator Data (national)'!$B$5:$AQ$14,34,FALSE))/(L$150-L$149)*10)))</f>
        <v>5.0617321591378008</v>
      </c>
      <c r="M98" s="3">
        <f t="shared" si="25"/>
        <v>7.3808660795689001</v>
      </c>
      <c r="N98" s="2" t="str">
        <f>IF(VLOOKUP($B98,'Indicator Data (national)'!$B$5:$AS$14,44,FALSE)="No data","x",IF(VLOOKUP($B98,'Indicator Data (national)'!$B$5:$AS$14,44,FALSE)&gt;N$150,10,IF(VLOOKUP($B98,'Indicator Data (national)'!$B$5:$AS$14,44,FALSE)&lt;N$149,0,10-(N$150-VLOOKUP($B98,'Indicator Data (national)'!$B$5:$AS$14,44,FALSE))/(N$150-N$149)*10)))</f>
        <v>x</v>
      </c>
      <c r="O98" s="2">
        <f>IF(VLOOKUP($B98,'Indicator Data (national)'!$B$5:$AS$14,42,FALSE)="No data","x",IF(VLOOKUP($B98,'Indicator Data (national)'!$B$5:$AS$14,42,FALSE)&gt;O$150,0,IF(VLOOKUP($B98,'Indicator Data (national)'!$B$5:$AS$14,42,FALSE)&lt;O$149,10,(O$150-VLOOKUP($B98,'Indicator Data (national)'!$B$5:$AS$14,42,FALSE))/(O$150-O$149)*10)))</f>
        <v>9.8657718167785227</v>
      </c>
      <c r="P98" s="158">
        <f t="shared" si="26"/>
        <v>9.8657718167785227</v>
      </c>
      <c r="Q98" s="2">
        <f>IF(VLOOKUP($B98,'Indicator Data (national)'!$B$5:$Q$14,16,FALSE)="No data","x",IF(VLOOKUP($B98,'Indicator Data (national)'!$B$5:$Q$14,16,FALSE)&gt;Q$150,0,IF(VLOOKUP($B98,'Indicator Data (national)'!$B$5:$Q$14,16,FALSE)&lt;Q$149,10,(Q$150-VLOOKUP($B98,'Indicator Data (national)'!$B$5:$Q$14,16,FALSE))/(Q$150-Q$149)*10)))</f>
        <v>9.6</v>
      </c>
      <c r="R98" s="158">
        <f t="shared" si="27"/>
        <v>9.6</v>
      </c>
      <c r="S98" s="3">
        <f t="shared" si="18"/>
        <v>9.7328859083892603</v>
      </c>
      <c r="T98" s="2">
        <f>IF(VLOOKUP($B98,'Indicator Data (national)'!$B$5:$BC$14,43,FALSE)="No data","x",IF(VLOOKUP($B98,'Indicator Data (national)'!$B$5:$BC$14,43,FALSE)&gt;T$150,10,IF(VLOOKUP($B98,'Indicator Data (national)'!$B$5:$BC$14,43,FALSE)&lt;T$149,0,(T$150-VLOOKUP($B98,'Indicator Data (national)'!$B$5:$BC$14,43,FALSE))/(T$150-T$149)*10)))</f>
        <v>8.5136604607862196</v>
      </c>
      <c r="U98" s="3">
        <f t="shared" si="28"/>
        <v>8.5136604607862196</v>
      </c>
      <c r="V98" s="5">
        <f t="shared" si="19"/>
        <v>8.5424708162481267</v>
      </c>
      <c r="W98" s="2">
        <f>IF(VLOOKUP($B98,'Indicator Data (national)'!$B$5:$AS$14,37,FALSE)="No data","x",IF(VLOOKUP($B98,'Indicator Data (national)'!$B$5:$AS$14,37,FALSE)&gt;W$150,10,IF(VLOOKUP($B98,'Indicator Data (national)'!$B$5:$AS$14,37,FALSE)&lt;W$149,0,(LOG(W$150)-LOG(VLOOKUP($B98,'Indicator Data (national)'!$B$5:$AS$14,37,FALSE)))/(LOG(W$150)-LOG(W$149))*10)))</f>
        <v>9.6558878146011455</v>
      </c>
      <c r="X98" s="2">
        <f>IF(VLOOKUP($B98,'Indicator Data (national)'!$B$5:$BB$14,45,FALSE)="No data","x",IF(VLOOKUP($B98,'Indicator Data (national)'!$B$5:$BB$14,45,FALSE)&gt;X$150,10,IF(VLOOKUP($B98,'Indicator Data (national)'!$B$5:$BB$14,45,FALSE)&lt;X$149,0,10-(X$150-VLOOKUP($B98,'Indicator Data (national)'!$B$5:$BB$14,45,FALSE))/(X$150-X$149)*10)))</f>
        <v>8.6666666666666661</v>
      </c>
      <c r="Y98" s="2">
        <f>IF(VLOOKUP($B98,'Indicator Data (national)'!$B$5:$BB$14,46,FALSE)="No data","x",IF(VLOOKUP($B98,'Indicator Data (national)'!$B$5:$BB$14,46,FALSE)&gt;Y$150,10,IF(VLOOKUP($B98,'Indicator Data (national)'!$B$5:$BB$14,46,FALSE)&lt;Y$149,0,(Y$150-VLOOKUP($B98,'Indicator Data (national)'!$B$5:$BB$14,46,FALSE))/(Y$150-Y$149)*10)))</f>
        <v>7</v>
      </c>
      <c r="Z98" s="156">
        <f>IF(VLOOKUP($B98,'Indicator Data (national)'!$B$5:$BB$14,48,FALSE)="No data","x",VLOOKUP($B98,'Indicator Data (national)'!$B$5:$BB$14,47,FALSE)*VLOOKUP($B98,'Indicator Data (national)'!$B$5:$BB$14,48,FALSE))</f>
        <v>7.8825963475823286</v>
      </c>
      <c r="AA98" s="2">
        <f t="shared" si="29"/>
        <v>9.2117403652417664</v>
      </c>
      <c r="AB98" s="3">
        <f t="shared" si="30"/>
        <v>8.6335737116273936</v>
      </c>
      <c r="AC98" s="2" t="str">
        <f>IF(VLOOKUP($B98,'Indicator Data (national)'!$B$5:$BB$14,49,FALSE)="No data","x",IF(VLOOKUP($B98,'Indicator Data (national)'!$B$5:$BB$14,49,FALSE)&gt;AC$150,0,IF(VLOOKUP($B98,'Indicator Data (national)'!$B$5:$BB$14,49,FALSE)&lt;AC$149,10,(AC$150-VLOOKUP($B98,'Indicator Data (national)'!$B$5:$BB$14,49,FALSE))/(AC$150-AC$149)*10)))</f>
        <v>x</v>
      </c>
      <c r="AD98" s="2" t="str">
        <f>IF(VLOOKUP($B98,'Indicator Data (national)'!$B$5:$BB$14,50,FALSE)="No data","x",IF(VLOOKUP($B98,'Indicator Data (national)'!$B$5:$BB$14,50,FALSE)&gt;AD$150,0,IF(VLOOKUP($B98,'Indicator Data (national)'!$B$5:$BB$14,50,FALSE)&lt;AD$149,10,(AD$150-VLOOKUP($B98,'Indicator Data (national)'!$B$5:$BB$14,50,FALSE))/(AD$150-AD$149)*10)))</f>
        <v>x</v>
      </c>
      <c r="AE98" s="3" t="str">
        <f t="shared" si="31"/>
        <v>x</v>
      </c>
      <c r="AF98" s="2">
        <f>IF(VLOOKUP($B98,'Indicator Data (national)'!$B$5:$BB$14,51,FALSE)="No data","x",IF(VLOOKUP($B98,'Indicator Data (national)'!$B$5:$BB$14,51,FALSE)&gt;AF$150,0,IF(VLOOKUP($B98,'Indicator Data (national)'!$B$5:$BB$14,51,FALSE)&lt;AF$149,10,(AF$150-VLOOKUP($B98,'Indicator Data (national)'!$B$5:$BB$14,51,FALSE))/(AF$150-AF$149)*10)))</f>
        <v>10</v>
      </c>
      <c r="AG98" s="2">
        <f>IF(VLOOKUP($B98,'Indicator Data (national)'!$B$5:$BB$14,52,FALSE)="No data","x",IF(VLOOKUP($B98,'Indicator Data (national)'!$B$5:$BB$14,52,FALSE)&gt;AG$150,0,IF(VLOOKUP($B98,'Indicator Data (national)'!$B$5:$BB$14,52,FALSE)&lt;AG$149,10,(AG$150-VLOOKUP($B98,'Indicator Data (national)'!$B$5:$BB$14,52,FALSE))/(AG$150-AG$149)*10)))</f>
        <v>3.5586119999999992</v>
      </c>
      <c r="AH98" s="2">
        <f>IF(VLOOKUP($B98,'Indicator Data (national)'!$B$5:$BB$14,53,FALSE)="No data","x",IF(VLOOKUP($B98,'Indicator Data (national)'!$B$5:$BB$14,53,FALSE)&gt;AH$150,0,IF(VLOOKUP($B98,'Indicator Data (national)'!$B$5:$BB$14,53,FALSE)&lt;AH$149,10,(AH$150-VLOOKUP($B98,'Indicator Data (national)'!$B$5:$BB$14,53,FALSE))/(AH$150-AH$149)*10)))</f>
        <v>0</v>
      </c>
      <c r="AI98" s="3">
        <f t="shared" si="32"/>
        <v>4.5195373333333331</v>
      </c>
      <c r="AJ98" s="5">
        <f t="shared" si="20"/>
        <v>6.5765555224803638</v>
      </c>
    </row>
    <row r="99" spans="1:36" s="11" customFormat="1" x14ac:dyDescent="0.25">
      <c r="A99" s="16" t="s">
        <v>478</v>
      </c>
      <c r="B99" s="11" t="s">
        <v>578</v>
      </c>
      <c r="C99" s="16" t="s">
        <v>479</v>
      </c>
      <c r="D99" s="120">
        <f>(VLOOKUP($B99,'Indicator Data (national)'!$B$5:$AP$14,39,FALSE)+VLOOKUP($B99,'Indicator Data (national)'!$B$5:$AP$14,40,FALSE)+VLOOKUP($B99,'Indicator Data (national)'!$B$5:$AP$14,41,FALSE))/VLOOKUP($B99,'Indicator Data (national)'!$B$5:$AP$14,38,FALSE)*1000000</f>
        <v>0.84607019924476812</v>
      </c>
      <c r="E99" s="2">
        <f t="shared" si="21"/>
        <v>5.7696490037761592</v>
      </c>
      <c r="F99" s="3">
        <f t="shared" si="22"/>
        <v>5.7696490037761592</v>
      </c>
      <c r="G99" s="2">
        <f>IF(VLOOKUP($B99,'Indicator Data (national)'!$B$5:$AQ$14,30,FALSE)="No data","x",IF(VLOOKUP($B99,'Indicator Data (national)'!$B$5:$AQ$14,30,FALSE)&gt;G$150,10,IF(VLOOKUP($B99,'Indicator Data (national)'!$B$5:$AQ$14,30,FALSE)&lt;G$149,0,(G$150-VLOOKUP($B99,'Indicator Data (national)'!$B$5:$AQ$14,30,FALSE))/(G$150-G$149)*10)))</f>
        <v>9.2000000000000011</v>
      </c>
      <c r="H99" s="2">
        <f>IF(VLOOKUP($B99,'Indicator Data (national)'!$B$5:$AQ$14,29,FALSE)="No data","x",IF(VLOOKUP($B99,'Indicator Data (national)'!$B$5:$AQ$14,29,FALSE)&gt;H$150,10,IF(VLOOKUP($B99,'Indicator Data (national)'!$B$5:$AQ$14,29,FALSE)&lt;H$149,0,(H$150-VLOOKUP($B99,'Indicator Data (national)'!$B$5:$AQ$14,29,FALSE))/(H$150-H$149)*10)))</f>
        <v>9.4153704643249512</v>
      </c>
      <c r="I99" s="3">
        <f t="shared" si="23"/>
        <v>9.307685232162477</v>
      </c>
      <c r="J99" s="5">
        <f t="shared" si="24"/>
        <v>7.5386671179693181</v>
      </c>
      <c r="K99" s="2">
        <f>IF(VLOOKUP($B99,'Indicator Data (national)'!$B$5:$AQ$14,33,FALSE)="No data","x",IF(VLOOKUP($B99,'Indicator Data (national)'!$B$5:$AQ$14,33,FALSE)&gt;K$150,10,IF(VLOOKUP($B99,'Indicator Data (national)'!$B$5:$AQ$14,33,FALSE)&lt;K$149,0,(K$150-VLOOKUP($B99,'Indicator Data (national)'!$B$5:$AQ$14,33,FALSE))/(K$150-K$149)*10)))</f>
        <v>9.6999999999999993</v>
      </c>
      <c r="L99" s="2">
        <f>IF(VLOOKUP($B99,'Indicator Data (national)'!$B$5:$AQ$14,34,FALSE)="No data","x",IF(VLOOKUP($B99,'Indicator Data (national)'!$B$5:$AQ$14,34,FALSE)&gt;L$150,10,IF(VLOOKUP($B99,'Indicator Data (national)'!$B$5:$AQ$14,34,FALSE)&lt;L$149,0,(L$150-VLOOKUP($B99,'Indicator Data (national)'!$B$5:$AQ$14,34,FALSE))/(L$150-L$149)*10)))</f>
        <v>5.0617321591378008</v>
      </c>
      <c r="M99" s="3">
        <f t="shared" si="25"/>
        <v>7.3808660795689001</v>
      </c>
      <c r="N99" s="2" t="str">
        <f>IF(VLOOKUP($B99,'Indicator Data (national)'!$B$5:$AS$14,44,FALSE)="No data","x",IF(VLOOKUP($B99,'Indicator Data (national)'!$B$5:$AS$14,44,FALSE)&gt;N$150,10,IF(VLOOKUP($B99,'Indicator Data (national)'!$B$5:$AS$14,44,FALSE)&lt;N$149,0,10-(N$150-VLOOKUP($B99,'Indicator Data (national)'!$B$5:$AS$14,44,FALSE))/(N$150-N$149)*10)))</f>
        <v>x</v>
      </c>
      <c r="O99" s="2">
        <f>IF(VLOOKUP($B99,'Indicator Data (national)'!$B$5:$AS$14,42,FALSE)="No data","x",IF(VLOOKUP($B99,'Indicator Data (national)'!$B$5:$AS$14,42,FALSE)&gt;O$150,0,IF(VLOOKUP($B99,'Indicator Data (national)'!$B$5:$AS$14,42,FALSE)&lt;O$149,10,(O$150-VLOOKUP($B99,'Indicator Data (national)'!$B$5:$AS$14,42,FALSE))/(O$150-O$149)*10)))</f>
        <v>9.8657718167785227</v>
      </c>
      <c r="P99" s="158">
        <f t="shared" si="26"/>
        <v>9.8657718167785227</v>
      </c>
      <c r="Q99" s="2">
        <f>IF(VLOOKUP($B99,'Indicator Data (national)'!$B$5:$Q$14,16,FALSE)="No data","x",IF(VLOOKUP($B99,'Indicator Data (national)'!$B$5:$Q$14,16,FALSE)&gt;Q$150,0,IF(VLOOKUP($B99,'Indicator Data (national)'!$B$5:$Q$14,16,FALSE)&lt;Q$149,10,(Q$150-VLOOKUP($B99,'Indicator Data (national)'!$B$5:$Q$14,16,FALSE))/(Q$150-Q$149)*10)))</f>
        <v>9.6</v>
      </c>
      <c r="R99" s="158">
        <f t="shared" si="27"/>
        <v>9.6</v>
      </c>
      <c r="S99" s="3">
        <f t="shared" ref="S99:S130" si="33">AVERAGE(R99,P99)</f>
        <v>9.7328859083892603</v>
      </c>
      <c r="T99" s="2">
        <f>IF(VLOOKUP($B99,'Indicator Data (national)'!$B$5:$BC$14,43,FALSE)="No data","x",IF(VLOOKUP($B99,'Indicator Data (national)'!$B$5:$BC$14,43,FALSE)&gt;T$150,10,IF(VLOOKUP($B99,'Indicator Data (national)'!$B$5:$BC$14,43,FALSE)&lt;T$149,0,(T$150-VLOOKUP($B99,'Indicator Data (national)'!$B$5:$BC$14,43,FALSE))/(T$150-T$149)*10)))</f>
        <v>8.5136604607862196</v>
      </c>
      <c r="U99" s="3">
        <f t="shared" si="28"/>
        <v>8.5136604607862196</v>
      </c>
      <c r="V99" s="5">
        <f t="shared" ref="V99:V130" si="34">AVERAGE(S99,M99,U99)</f>
        <v>8.5424708162481267</v>
      </c>
      <c r="W99" s="2">
        <f>IF(VLOOKUP($B99,'Indicator Data (national)'!$B$5:$AS$14,37,FALSE)="No data","x",IF(VLOOKUP($B99,'Indicator Data (national)'!$B$5:$AS$14,37,FALSE)&gt;W$150,10,IF(VLOOKUP($B99,'Indicator Data (national)'!$B$5:$AS$14,37,FALSE)&lt;W$149,0,(LOG(W$150)-LOG(VLOOKUP($B99,'Indicator Data (national)'!$B$5:$AS$14,37,FALSE)))/(LOG(W$150)-LOG(W$149))*10)))</f>
        <v>9.6558878146011455</v>
      </c>
      <c r="X99" s="2">
        <f>IF(VLOOKUP($B99,'Indicator Data (national)'!$B$5:$BB$14,45,FALSE)="No data","x",IF(VLOOKUP($B99,'Indicator Data (national)'!$B$5:$BB$14,45,FALSE)&gt;X$150,10,IF(VLOOKUP($B99,'Indicator Data (national)'!$B$5:$BB$14,45,FALSE)&lt;X$149,0,10-(X$150-VLOOKUP($B99,'Indicator Data (national)'!$B$5:$BB$14,45,FALSE))/(X$150-X$149)*10)))</f>
        <v>8.6666666666666661</v>
      </c>
      <c r="Y99" s="2">
        <f>IF(VLOOKUP($B99,'Indicator Data (national)'!$B$5:$BB$14,46,FALSE)="No data","x",IF(VLOOKUP($B99,'Indicator Data (national)'!$B$5:$BB$14,46,FALSE)&gt;Y$150,10,IF(VLOOKUP($B99,'Indicator Data (national)'!$B$5:$BB$14,46,FALSE)&lt;Y$149,0,(Y$150-VLOOKUP($B99,'Indicator Data (national)'!$B$5:$BB$14,46,FALSE))/(Y$150-Y$149)*10)))</f>
        <v>7</v>
      </c>
      <c r="Z99" s="156">
        <f>IF(VLOOKUP($B99,'Indicator Data (national)'!$B$5:$BB$14,48,FALSE)="No data","x",VLOOKUP($B99,'Indicator Data (national)'!$B$5:$BB$14,47,FALSE)*VLOOKUP($B99,'Indicator Data (national)'!$B$5:$BB$14,48,FALSE))</f>
        <v>7.8825963475823286</v>
      </c>
      <c r="AA99" s="2">
        <f t="shared" si="29"/>
        <v>9.2117403652417664</v>
      </c>
      <c r="AB99" s="3">
        <f t="shared" si="30"/>
        <v>8.6335737116273936</v>
      </c>
      <c r="AC99" s="2" t="str">
        <f>IF(VLOOKUP($B99,'Indicator Data (national)'!$B$5:$BB$14,49,FALSE)="No data","x",IF(VLOOKUP($B99,'Indicator Data (national)'!$B$5:$BB$14,49,FALSE)&gt;AC$150,0,IF(VLOOKUP($B99,'Indicator Data (national)'!$B$5:$BB$14,49,FALSE)&lt;AC$149,10,(AC$150-VLOOKUP($B99,'Indicator Data (national)'!$B$5:$BB$14,49,FALSE))/(AC$150-AC$149)*10)))</f>
        <v>x</v>
      </c>
      <c r="AD99" s="2" t="str">
        <f>IF(VLOOKUP($B99,'Indicator Data (national)'!$B$5:$BB$14,50,FALSE)="No data","x",IF(VLOOKUP($B99,'Indicator Data (national)'!$B$5:$BB$14,50,FALSE)&gt;AD$150,0,IF(VLOOKUP($B99,'Indicator Data (national)'!$B$5:$BB$14,50,FALSE)&lt;AD$149,10,(AD$150-VLOOKUP($B99,'Indicator Data (national)'!$B$5:$BB$14,50,FALSE))/(AD$150-AD$149)*10)))</f>
        <v>x</v>
      </c>
      <c r="AE99" s="3" t="str">
        <f t="shared" si="31"/>
        <v>x</v>
      </c>
      <c r="AF99" s="2">
        <f>IF(VLOOKUP($B99,'Indicator Data (national)'!$B$5:$BB$14,51,FALSE)="No data","x",IF(VLOOKUP($B99,'Indicator Data (national)'!$B$5:$BB$14,51,FALSE)&gt;AF$150,0,IF(VLOOKUP($B99,'Indicator Data (national)'!$B$5:$BB$14,51,FALSE)&lt;AF$149,10,(AF$150-VLOOKUP($B99,'Indicator Data (national)'!$B$5:$BB$14,51,FALSE))/(AF$150-AF$149)*10)))</f>
        <v>10</v>
      </c>
      <c r="AG99" s="2">
        <f>IF(VLOOKUP($B99,'Indicator Data (national)'!$B$5:$BB$14,52,FALSE)="No data","x",IF(VLOOKUP($B99,'Indicator Data (national)'!$B$5:$BB$14,52,FALSE)&gt;AG$150,0,IF(VLOOKUP($B99,'Indicator Data (national)'!$B$5:$BB$14,52,FALSE)&lt;AG$149,10,(AG$150-VLOOKUP($B99,'Indicator Data (national)'!$B$5:$BB$14,52,FALSE))/(AG$150-AG$149)*10)))</f>
        <v>3.5586119999999992</v>
      </c>
      <c r="AH99" s="2">
        <f>IF(VLOOKUP($B99,'Indicator Data (national)'!$B$5:$BB$14,53,FALSE)="No data","x",IF(VLOOKUP($B99,'Indicator Data (national)'!$B$5:$BB$14,53,FALSE)&gt;AH$150,0,IF(VLOOKUP($B99,'Indicator Data (national)'!$B$5:$BB$14,53,FALSE)&lt;AH$149,10,(AH$150-VLOOKUP($B99,'Indicator Data (national)'!$B$5:$BB$14,53,FALSE))/(AH$150-AH$149)*10)))</f>
        <v>0</v>
      </c>
      <c r="AI99" s="3">
        <f t="shared" si="32"/>
        <v>4.5195373333333331</v>
      </c>
      <c r="AJ99" s="5">
        <f t="shared" ref="AJ99:AJ130" si="35">AVERAGE(AE99,AB99,AI99)</f>
        <v>6.5765555224803638</v>
      </c>
    </row>
    <row r="100" spans="1:36" s="11" customFormat="1" x14ac:dyDescent="0.25">
      <c r="A100" s="16" t="s">
        <v>480</v>
      </c>
      <c r="B100" s="11" t="s">
        <v>578</v>
      </c>
      <c r="C100" s="16" t="s">
        <v>481</v>
      </c>
      <c r="D100" s="120">
        <f>(VLOOKUP($B100,'Indicator Data (national)'!$B$5:$AP$14,39,FALSE)+VLOOKUP($B100,'Indicator Data (national)'!$B$5:$AP$14,40,FALSE)+VLOOKUP($B100,'Indicator Data (national)'!$B$5:$AP$14,41,FALSE))/VLOOKUP($B100,'Indicator Data (national)'!$B$5:$AP$14,38,FALSE)*1000000</f>
        <v>0.84607019924476812</v>
      </c>
      <c r="E100" s="2">
        <f t="shared" si="21"/>
        <v>5.7696490037761592</v>
      </c>
      <c r="F100" s="3">
        <f t="shared" si="22"/>
        <v>5.7696490037761592</v>
      </c>
      <c r="G100" s="2">
        <f>IF(VLOOKUP($B100,'Indicator Data (national)'!$B$5:$AQ$14,30,FALSE)="No data","x",IF(VLOOKUP($B100,'Indicator Data (national)'!$B$5:$AQ$14,30,FALSE)&gt;G$150,10,IF(VLOOKUP($B100,'Indicator Data (national)'!$B$5:$AQ$14,30,FALSE)&lt;G$149,0,(G$150-VLOOKUP($B100,'Indicator Data (national)'!$B$5:$AQ$14,30,FALSE))/(G$150-G$149)*10)))</f>
        <v>9.2000000000000011</v>
      </c>
      <c r="H100" s="2">
        <f>IF(VLOOKUP($B100,'Indicator Data (national)'!$B$5:$AQ$14,29,FALSE)="No data","x",IF(VLOOKUP($B100,'Indicator Data (national)'!$B$5:$AQ$14,29,FALSE)&gt;H$150,10,IF(VLOOKUP($B100,'Indicator Data (national)'!$B$5:$AQ$14,29,FALSE)&lt;H$149,0,(H$150-VLOOKUP($B100,'Indicator Data (national)'!$B$5:$AQ$14,29,FALSE))/(H$150-H$149)*10)))</f>
        <v>9.4153704643249512</v>
      </c>
      <c r="I100" s="3">
        <f t="shared" si="23"/>
        <v>9.307685232162477</v>
      </c>
      <c r="J100" s="5">
        <f t="shared" si="24"/>
        <v>7.5386671179693181</v>
      </c>
      <c r="K100" s="2">
        <f>IF(VLOOKUP($B100,'Indicator Data (national)'!$B$5:$AQ$14,33,FALSE)="No data","x",IF(VLOOKUP($B100,'Indicator Data (national)'!$B$5:$AQ$14,33,FALSE)&gt;K$150,10,IF(VLOOKUP($B100,'Indicator Data (national)'!$B$5:$AQ$14,33,FALSE)&lt;K$149,0,(K$150-VLOOKUP($B100,'Indicator Data (national)'!$B$5:$AQ$14,33,FALSE))/(K$150-K$149)*10)))</f>
        <v>9.6999999999999993</v>
      </c>
      <c r="L100" s="2">
        <f>IF(VLOOKUP($B100,'Indicator Data (national)'!$B$5:$AQ$14,34,FALSE)="No data","x",IF(VLOOKUP($B100,'Indicator Data (national)'!$B$5:$AQ$14,34,FALSE)&gt;L$150,10,IF(VLOOKUP($B100,'Indicator Data (national)'!$B$5:$AQ$14,34,FALSE)&lt;L$149,0,(L$150-VLOOKUP($B100,'Indicator Data (national)'!$B$5:$AQ$14,34,FALSE))/(L$150-L$149)*10)))</f>
        <v>5.0617321591378008</v>
      </c>
      <c r="M100" s="3">
        <f t="shared" si="25"/>
        <v>7.3808660795689001</v>
      </c>
      <c r="N100" s="2" t="str">
        <f>IF(VLOOKUP($B100,'Indicator Data (national)'!$B$5:$AS$14,44,FALSE)="No data","x",IF(VLOOKUP($B100,'Indicator Data (national)'!$B$5:$AS$14,44,FALSE)&gt;N$150,10,IF(VLOOKUP($B100,'Indicator Data (national)'!$B$5:$AS$14,44,FALSE)&lt;N$149,0,10-(N$150-VLOOKUP($B100,'Indicator Data (national)'!$B$5:$AS$14,44,FALSE))/(N$150-N$149)*10)))</f>
        <v>x</v>
      </c>
      <c r="O100" s="2">
        <f>IF(VLOOKUP($B100,'Indicator Data (national)'!$B$5:$AS$14,42,FALSE)="No data","x",IF(VLOOKUP($B100,'Indicator Data (national)'!$B$5:$AS$14,42,FALSE)&gt;O$150,0,IF(VLOOKUP($B100,'Indicator Data (national)'!$B$5:$AS$14,42,FALSE)&lt;O$149,10,(O$150-VLOOKUP($B100,'Indicator Data (national)'!$B$5:$AS$14,42,FALSE))/(O$150-O$149)*10)))</f>
        <v>9.8657718167785227</v>
      </c>
      <c r="P100" s="158">
        <f t="shared" si="26"/>
        <v>9.8657718167785227</v>
      </c>
      <c r="Q100" s="2">
        <f>IF(VLOOKUP($B100,'Indicator Data (national)'!$B$5:$Q$14,16,FALSE)="No data","x",IF(VLOOKUP($B100,'Indicator Data (national)'!$B$5:$Q$14,16,FALSE)&gt;Q$150,0,IF(VLOOKUP($B100,'Indicator Data (national)'!$B$5:$Q$14,16,FALSE)&lt;Q$149,10,(Q$150-VLOOKUP($B100,'Indicator Data (national)'!$B$5:$Q$14,16,FALSE))/(Q$150-Q$149)*10)))</f>
        <v>9.6</v>
      </c>
      <c r="R100" s="158">
        <f t="shared" si="27"/>
        <v>9.6</v>
      </c>
      <c r="S100" s="3">
        <f t="shared" si="33"/>
        <v>9.7328859083892603</v>
      </c>
      <c r="T100" s="2">
        <f>IF(VLOOKUP($B100,'Indicator Data (national)'!$B$5:$BC$14,43,FALSE)="No data","x",IF(VLOOKUP($B100,'Indicator Data (national)'!$B$5:$BC$14,43,FALSE)&gt;T$150,10,IF(VLOOKUP($B100,'Indicator Data (national)'!$B$5:$BC$14,43,FALSE)&lt;T$149,0,(T$150-VLOOKUP($B100,'Indicator Data (national)'!$B$5:$BC$14,43,FALSE))/(T$150-T$149)*10)))</f>
        <v>8.5136604607862196</v>
      </c>
      <c r="U100" s="3">
        <f t="shared" si="28"/>
        <v>8.5136604607862196</v>
      </c>
      <c r="V100" s="5">
        <f t="shared" si="34"/>
        <v>8.5424708162481267</v>
      </c>
      <c r="W100" s="2">
        <f>IF(VLOOKUP($B100,'Indicator Data (national)'!$B$5:$AS$14,37,FALSE)="No data","x",IF(VLOOKUP($B100,'Indicator Data (national)'!$B$5:$AS$14,37,FALSE)&gt;W$150,10,IF(VLOOKUP($B100,'Indicator Data (national)'!$B$5:$AS$14,37,FALSE)&lt;W$149,0,(LOG(W$150)-LOG(VLOOKUP($B100,'Indicator Data (national)'!$B$5:$AS$14,37,FALSE)))/(LOG(W$150)-LOG(W$149))*10)))</f>
        <v>9.6558878146011455</v>
      </c>
      <c r="X100" s="2">
        <f>IF(VLOOKUP($B100,'Indicator Data (national)'!$B$5:$BB$14,45,FALSE)="No data","x",IF(VLOOKUP($B100,'Indicator Data (national)'!$B$5:$BB$14,45,FALSE)&gt;X$150,10,IF(VLOOKUP($B100,'Indicator Data (national)'!$B$5:$BB$14,45,FALSE)&lt;X$149,0,10-(X$150-VLOOKUP($B100,'Indicator Data (national)'!$B$5:$BB$14,45,FALSE))/(X$150-X$149)*10)))</f>
        <v>8.6666666666666661</v>
      </c>
      <c r="Y100" s="2">
        <f>IF(VLOOKUP($B100,'Indicator Data (national)'!$B$5:$BB$14,46,FALSE)="No data","x",IF(VLOOKUP($B100,'Indicator Data (national)'!$B$5:$BB$14,46,FALSE)&gt;Y$150,10,IF(VLOOKUP($B100,'Indicator Data (national)'!$B$5:$BB$14,46,FALSE)&lt;Y$149,0,(Y$150-VLOOKUP($B100,'Indicator Data (national)'!$B$5:$BB$14,46,FALSE))/(Y$150-Y$149)*10)))</f>
        <v>7</v>
      </c>
      <c r="Z100" s="156">
        <f>IF(VLOOKUP($B100,'Indicator Data (national)'!$B$5:$BB$14,48,FALSE)="No data","x",VLOOKUP($B100,'Indicator Data (national)'!$B$5:$BB$14,47,FALSE)*VLOOKUP($B100,'Indicator Data (national)'!$B$5:$BB$14,48,FALSE))</f>
        <v>7.8825963475823286</v>
      </c>
      <c r="AA100" s="2">
        <f t="shared" si="29"/>
        <v>9.2117403652417664</v>
      </c>
      <c r="AB100" s="3">
        <f t="shared" si="30"/>
        <v>8.6335737116273936</v>
      </c>
      <c r="AC100" s="2" t="str">
        <f>IF(VLOOKUP($B100,'Indicator Data (national)'!$B$5:$BB$14,49,FALSE)="No data","x",IF(VLOOKUP($B100,'Indicator Data (national)'!$B$5:$BB$14,49,FALSE)&gt;AC$150,0,IF(VLOOKUP($B100,'Indicator Data (national)'!$B$5:$BB$14,49,FALSE)&lt;AC$149,10,(AC$150-VLOOKUP($B100,'Indicator Data (national)'!$B$5:$BB$14,49,FALSE))/(AC$150-AC$149)*10)))</f>
        <v>x</v>
      </c>
      <c r="AD100" s="2" t="str">
        <f>IF(VLOOKUP($B100,'Indicator Data (national)'!$B$5:$BB$14,50,FALSE)="No data","x",IF(VLOOKUP($B100,'Indicator Data (national)'!$B$5:$BB$14,50,FALSE)&gt;AD$150,0,IF(VLOOKUP($B100,'Indicator Data (national)'!$B$5:$BB$14,50,FALSE)&lt;AD$149,10,(AD$150-VLOOKUP($B100,'Indicator Data (national)'!$B$5:$BB$14,50,FALSE))/(AD$150-AD$149)*10)))</f>
        <v>x</v>
      </c>
      <c r="AE100" s="3" t="str">
        <f t="shared" si="31"/>
        <v>x</v>
      </c>
      <c r="AF100" s="2">
        <f>IF(VLOOKUP($B100,'Indicator Data (national)'!$B$5:$BB$14,51,FALSE)="No data","x",IF(VLOOKUP($B100,'Indicator Data (national)'!$B$5:$BB$14,51,FALSE)&gt;AF$150,0,IF(VLOOKUP($B100,'Indicator Data (national)'!$B$5:$BB$14,51,FALSE)&lt;AF$149,10,(AF$150-VLOOKUP($B100,'Indicator Data (national)'!$B$5:$BB$14,51,FALSE))/(AF$150-AF$149)*10)))</f>
        <v>10</v>
      </c>
      <c r="AG100" s="2">
        <f>IF(VLOOKUP($B100,'Indicator Data (national)'!$B$5:$BB$14,52,FALSE)="No data","x",IF(VLOOKUP($B100,'Indicator Data (national)'!$B$5:$BB$14,52,FALSE)&gt;AG$150,0,IF(VLOOKUP($B100,'Indicator Data (national)'!$B$5:$BB$14,52,FALSE)&lt;AG$149,10,(AG$150-VLOOKUP($B100,'Indicator Data (national)'!$B$5:$BB$14,52,FALSE))/(AG$150-AG$149)*10)))</f>
        <v>3.5586119999999992</v>
      </c>
      <c r="AH100" s="2">
        <f>IF(VLOOKUP($B100,'Indicator Data (national)'!$B$5:$BB$14,53,FALSE)="No data","x",IF(VLOOKUP($B100,'Indicator Data (national)'!$B$5:$BB$14,53,FALSE)&gt;AH$150,0,IF(VLOOKUP($B100,'Indicator Data (national)'!$B$5:$BB$14,53,FALSE)&lt;AH$149,10,(AH$150-VLOOKUP($B100,'Indicator Data (national)'!$B$5:$BB$14,53,FALSE))/(AH$150-AH$149)*10)))</f>
        <v>0</v>
      </c>
      <c r="AI100" s="3">
        <f t="shared" si="32"/>
        <v>4.5195373333333331</v>
      </c>
      <c r="AJ100" s="5">
        <f t="shared" si="35"/>
        <v>6.5765555224803638</v>
      </c>
    </row>
    <row r="101" spans="1:36" s="11" customFormat="1" x14ac:dyDescent="0.25">
      <c r="A101" s="16" t="s">
        <v>482</v>
      </c>
      <c r="B101" s="11" t="s">
        <v>578</v>
      </c>
      <c r="C101" s="16" t="s">
        <v>483</v>
      </c>
      <c r="D101" s="120">
        <f>(VLOOKUP($B101,'Indicator Data (national)'!$B$5:$AP$14,39,FALSE)+VLOOKUP($B101,'Indicator Data (national)'!$B$5:$AP$14,40,FALSE)+VLOOKUP($B101,'Indicator Data (national)'!$B$5:$AP$14,41,FALSE))/VLOOKUP($B101,'Indicator Data (national)'!$B$5:$AP$14,38,FALSE)*1000000</f>
        <v>0.84607019924476812</v>
      </c>
      <c r="E101" s="2">
        <f t="shared" si="21"/>
        <v>5.7696490037761592</v>
      </c>
      <c r="F101" s="3">
        <f t="shared" si="22"/>
        <v>5.7696490037761592</v>
      </c>
      <c r="G101" s="2">
        <f>IF(VLOOKUP($B101,'Indicator Data (national)'!$B$5:$AQ$14,30,FALSE)="No data","x",IF(VLOOKUP($B101,'Indicator Data (national)'!$B$5:$AQ$14,30,FALSE)&gt;G$150,10,IF(VLOOKUP($B101,'Indicator Data (national)'!$B$5:$AQ$14,30,FALSE)&lt;G$149,0,(G$150-VLOOKUP($B101,'Indicator Data (national)'!$B$5:$AQ$14,30,FALSE))/(G$150-G$149)*10)))</f>
        <v>9.2000000000000011</v>
      </c>
      <c r="H101" s="2">
        <f>IF(VLOOKUP($B101,'Indicator Data (national)'!$B$5:$AQ$14,29,FALSE)="No data","x",IF(VLOOKUP($B101,'Indicator Data (national)'!$B$5:$AQ$14,29,FALSE)&gt;H$150,10,IF(VLOOKUP($B101,'Indicator Data (national)'!$B$5:$AQ$14,29,FALSE)&lt;H$149,0,(H$150-VLOOKUP($B101,'Indicator Data (national)'!$B$5:$AQ$14,29,FALSE))/(H$150-H$149)*10)))</f>
        <v>9.4153704643249512</v>
      </c>
      <c r="I101" s="3">
        <f t="shared" si="23"/>
        <v>9.307685232162477</v>
      </c>
      <c r="J101" s="5">
        <f t="shared" si="24"/>
        <v>7.5386671179693181</v>
      </c>
      <c r="K101" s="2">
        <f>IF(VLOOKUP($B101,'Indicator Data (national)'!$B$5:$AQ$14,33,FALSE)="No data","x",IF(VLOOKUP($B101,'Indicator Data (national)'!$B$5:$AQ$14,33,FALSE)&gt;K$150,10,IF(VLOOKUP($B101,'Indicator Data (national)'!$B$5:$AQ$14,33,FALSE)&lt;K$149,0,(K$150-VLOOKUP($B101,'Indicator Data (national)'!$B$5:$AQ$14,33,FALSE))/(K$150-K$149)*10)))</f>
        <v>9.6999999999999993</v>
      </c>
      <c r="L101" s="2">
        <f>IF(VLOOKUP($B101,'Indicator Data (national)'!$B$5:$AQ$14,34,FALSE)="No data","x",IF(VLOOKUP($B101,'Indicator Data (national)'!$B$5:$AQ$14,34,FALSE)&gt;L$150,10,IF(VLOOKUP($B101,'Indicator Data (national)'!$B$5:$AQ$14,34,FALSE)&lt;L$149,0,(L$150-VLOOKUP($B101,'Indicator Data (national)'!$B$5:$AQ$14,34,FALSE))/(L$150-L$149)*10)))</f>
        <v>5.0617321591378008</v>
      </c>
      <c r="M101" s="3">
        <f t="shared" si="25"/>
        <v>7.3808660795689001</v>
      </c>
      <c r="N101" s="2" t="str">
        <f>IF(VLOOKUP($B101,'Indicator Data (national)'!$B$5:$AS$14,44,FALSE)="No data","x",IF(VLOOKUP($B101,'Indicator Data (national)'!$B$5:$AS$14,44,FALSE)&gt;N$150,10,IF(VLOOKUP($B101,'Indicator Data (national)'!$B$5:$AS$14,44,FALSE)&lt;N$149,0,10-(N$150-VLOOKUP($B101,'Indicator Data (national)'!$B$5:$AS$14,44,FALSE))/(N$150-N$149)*10)))</f>
        <v>x</v>
      </c>
      <c r="O101" s="2">
        <f>IF(VLOOKUP($B101,'Indicator Data (national)'!$B$5:$AS$14,42,FALSE)="No data","x",IF(VLOOKUP($B101,'Indicator Data (national)'!$B$5:$AS$14,42,FALSE)&gt;O$150,0,IF(VLOOKUP($B101,'Indicator Data (national)'!$B$5:$AS$14,42,FALSE)&lt;O$149,10,(O$150-VLOOKUP($B101,'Indicator Data (national)'!$B$5:$AS$14,42,FALSE))/(O$150-O$149)*10)))</f>
        <v>9.8657718167785227</v>
      </c>
      <c r="P101" s="158">
        <f t="shared" si="26"/>
        <v>9.8657718167785227</v>
      </c>
      <c r="Q101" s="2">
        <f>IF(VLOOKUP($B101,'Indicator Data (national)'!$B$5:$Q$14,16,FALSE)="No data","x",IF(VLOOKUP($B101,'Indicator Data (national)'!$B$5:$Q$14,16,FALSE)&gt;Q$150,0,IF(VLOOKUP($B101,'Indicator Data (national)'!$B$5:$Q$14,16,FALSE)&lt;Q$149,10,(Q$150-VLOOKUP($B101,'Indicator Data (national)'!$B$5:$Q$14,16,FALSE))/(Q$150-Q$149)*10)))</f>
        <v>9.6</v>
      </c>
      <c r="R101" s="158">
        <f t="shared" si="27"/>
        <v>9.6</v>
      </c>
      <c r="S101" s="3">
        <f t="shared" si="33"/>
        <v>9.7328859083892603</v>
      </c>
      <c r="T101" s="2">
        <f>IF(VLOOKUP($B101,'Indicator Data (national)'!$B$5:$BC$14,43,FALSE)="No data","x",IF(VLOOKUP($B101,'Indicator Data (national)'!$B$5:$BC$14,43,FALSE)&gt;T$150,10,IF(VLOOKUP($B101,'Indicator Data (national)'!$B$5:$BC$14,43,FALSE)&lt;T$149,0,(T$150-VLOOKUP($B101,'Indicator Data (national)'!$B$5:$BC$14,43,FALSE))/(T$150-T$149)*10)))</f>
        <v>8.5136604607862196</v>
      </c>
      <c r="U101" s="3">
        <f t="shared" si="28"/>
        <v>8.5136604607862196</v>
      </c>
      <c r="V101" s="5">
        <f t="shared" si="34"/>
        <v>8.5424708162481267</v>
      </c>
      <c r="W101" s="2">
        <f>IF(VLOOKUP($B101,'Indicator Data (national)'!$B$5:$AS$14,37,FALSE)="No data","x",IF(VLOOKUP($B101,'Indicator Data (national)'!$B$5:$AS$14,37,FALSE)&gt;W$150,10,IF(VLOOKUP($B101,'Indicator Data (national)'!$B$5:$AS$14,37,FALSE)&lt;W$149,0,(LOG(W$150)-LOG(VLOOKUP($B101,'Indicator Data (national)'!$B$5:$AS$14,37,FALSE)))/(LOG(W$150)-LOG(W$149))*10)))</f>
        <v>9.6558878146011455</v>
      </c>
      <c r="X101" s="2">
        <f>IF(VLOOKUP($B101,'Indicator Data (national)'!$B$5:$BB$14,45,FALSE)="No data","x",IF(VLOOKUP($B101,'Indicator Data (national)'!$B$5:$BB$14,45,FALSE)&gt;X$150,10,IF(VLOOKUP($B101,'Indicator Data (national)'!$B$5:$BB$14,45,FALSE)&lt;X$149,0,10-(X$150-VLOOKUP($B101,'Indicator Data (national)'!$B$5:$BB$14,45,FALSE))/(X$150-X$149)*10)))</f>
        <v>8.6666666666666661</v>
      </c>
      <c r="Y101" s="2">
        <f>IF(VLOOKUP($B101,'Indicator Data (national)'!$B$5:$BB$14,46,FALSE)="No data","x",IF(VLOOKUP($B101,'Indicator Data (national)'!$B$5:$BB$14,46,FALSE)&gt;Y$150,10,IF(VLOOKUP($B101,'Indicator Data (national)'!$B$5:$BB$14,46,FALSE)&lt;Y$149,0,(Y$150-VLOOKUP($B101,'Indicator Data (national)'!$B$5:$BB$14,46,FALSE))/(Y$150-Y$149)*10)))</f>
        <v>7</v>
      </c>
      <c r="Z101" s="156">
        <f>IF(VLOOKUP($B101,'Indicator Data (national)'!$B$5:$BB$14,48,FALSE)="No data","x",VLOOKUP($B101,'Indicator Data (national)'!$B$5:$BB$14,47,FALSE)*VLOOKUP($B101,'Indicator Data (national)'!$B$5:$BB$14,48,FALSE))</f>
        <v>7.8825963475823286</v>
      </c>
      <c r="AA101" s="2">
        <f t="shared" si="29"/>
        <v>9.2117403652417664</v>
      </c>
      <c r="AB101" s="3">
        <f t="shared" si="30"/>
        <v>8.6335737116273936</v>
      </c>
      <c r="AC101" s="2" t="str">
        <f>IF(VLOOKUP($B101,'Indicator Data (national)'!$B$5:$BB$14,49,FALSE)="No data","x",IF(VLOOKUP($B101,'Indicator Data (national)'!$B$5:$BB$14,49,FALSE)&gt;AC$150,0,IF(VLOOKUP($B101,'Indicator Data (national)'!$B$5:$BB$14,49,FALSE)&lt;AC$149,10,(AC$150-VLOOKUP($B101,'Indicator Data (national)'!$B$5:$BB$14,49,FALSE))/(AC$150-AC$149)*10)))</f>
        <v>x</v>
      </c>
      <c r="AD101" s="2" t="str">
        <f>IF(VLOOKUP($B101,'Indicator Data (national)'!$B$5:$BB$14,50,FALSE)="No data","x",IF(VLOOKUP($B101,'Indicator Data (national)'!$B$5:$BB$14,50,FALSE)&gt;AD$150,0,IF(VLOOKUP($B101,'Indicator Data (national)'!$B$5:$BB$14,50,FALSE)&lt;AD$149,10,(AD$150-VLOOKUP($B101,'Indicator Data (national)'!$B$5:$BB$14,50,FALSE))/(AD$150-AD$149)*10)))</f>
        <v>x</v>
      </c>
      <c r="AE101" s="3" t="str">
        <f t="shared" si="31"/>
        <v>x</v>
      </c>
      <c r="AF101" s="2">
        <f>IF(VLOOKUP($B101,'Indicator Data (national)'!$B$5:$BB$14,51,FALSE)="No data","x",IF(VLOOKUP($B101,'Indicator Data (national)'!$B$5:$BB$14,51,FALSE)&gt;AF$150,0,IF(VLOOKUP($B101,'Indicator Data (national)'!$B$5:$BB$14,51,FALSE)&lt;AF$149,10,(AF$150-VLOOKUP($B101,'Indicator Data (national)'!$B$5:$BB$14,51,FALSE))/(AF$150-AF$149)*10)))</f>
        <v>10</v>
      </c>
      <c r="AG101" s="2">
        <f>IF(VLOOKUP($B101,'Indicator Data (national)'!$B$5:$BB$14,52,FALSE)="No data","x",IF(VLOOKUP($B101,'Indicator Data (national)'!$B$5:$BB$14,52,FALSE)&gt;AG$150,0,IF(VLOOKUP($B101,'Indicator Data (national)'!$B$5:$BB$14,52,FALSE)&lt;AG$149,10,(AG$150-VLOOKUP($B101,'Indicator Data (national)'!$B$5:$BB$14,52,FALSE))/(AG$150-AG$149)*10)))</f>
        <v>3.5586119999999992</v>
      </c>
      <c r="AH101" s="2">
        <f>IF(VLOOKUP($B101,'Indicator Data (national)'!$B$5:$BB$14,53,FALSE)="No data","x",IF(VLOOKUP($B101,'Indicator Data (national)'!$B$5:$BB$14,53,FALSE)&gt;AH$150,0,IF(VLOOKUP($B101,'Indicator Data (national)'!$B$5:$BB$14,53,FALSE)&lt;AH$149,10,(AH$150-VLOOKUP($B101,'Indicator Data (national)'!$B$5:$BB$14,53,FALSE))/(AH$150-AH$149)*10)))</f>
        <v>0</v>
      </c>
      <c r="AI101" s="3">
        <f t="shared" si="32"/>
        <v>4.5195373333333331</v>
      </c>
      <c r="AJ101" s="5">
        <f t="shared" si="35"/>
        <v>6.5765555224803638</v>
      </c>
    </row>
    <row r="102" spans="1:36" s="11" customFormat="1" x14ac:dyDescent="0.25">
      <c r="A102" s="16" t="s">
        <v>484</v>
      </c>
      <c r="B102" s="11" t="s">
        <v>578</v>
      </c>
      <c r="C102" s="16" t="s">
        <v>485</v>
      </c>
      <c r="D102" s="120">
        <f>(VLOOKUP($B102,'Indicator Data (national)'!$B$5:$AP$14,39,FALSE)+VLOOKUP($B102,'Indicator Data (national)'!$B$5:$AP$14,40,FALSE)+VLOOKUP($B102,'Indicator Data (national)'!$B$5:$AP$14,41,FALSE))/VLOOKUP($B102,'Indicator Data (national)'!$B$5:$AP$14,38,FALSE)*1000000</f>
        <v>0.84607019924476812</v>
      </c>
      <c r="E102" s="2">
        <f t="shared" si="21"/>
        <v>5.7696490037761592</v>
      </c>
      <c r="F102" s="3">
        <f t="shared" si="22"/>
        <v>5.7696490037761592</v>
      </c>
      <c r="G102" s="2">
        <f>IF(VLOOKUP($B102,'Indicator Data (national)'!$B$5:$AQ$14,30,FALSE)="No data","x",IF(VLOOKUP($B102,'Indicator Data (national)'!$B$5:$AQ$14,30,FALSE)&gt;G$150,10,IF(VLOOKUP($B102,'Indicator Data (national)'!$B$5:$AQ$14,30,FALSE)&lt;G$149,0,(G$150-VLOOKUP($B102,'Indicator Data (national)'!$B$5:$AQ$14,30,FALSE))/(G$150-G$149)*10)))</f>
        <v>9.2000000000000011</v>
      </c>
      <c r="H102" s="2">
        <f>IF(VLOOKUP($B102,'Indicator Data (national)'!$B$5:$AQ$14,29,FALSE)="No data","x",IF(VLOOKUP($B102,'Indicator Data (national)'!$B$5:$AQ$14,29,FALSE)&gt;H$150,10,IF(VLOOKUP($B102,'Indicator Data (national)'!$B$5:$AQ$14,29,FALSE)&lt;H$149,0,(H$150-VLOOKUP($B102,'Indicator Data (national)'!$B$5:$AQ$14,29,FALSE))/(H$150-H$149)*10)))</f>
        <v>9.4153704643249512</v>
      </c>
      <c r="I102" s="3">
        <f t="shared" si="23"/>
        <v>9.307685232162477</v>
      </c>
      <c r="J102" s="5">
        <f t="shared" si="24"/>
        <v>7.5386671179693181</v>
      </c>
      <c r="K102" s="2">
        <f>IF(VLOOKUP($B102,'Indicator Data (national)'!$B$5:$AQ$14,33,FALSE)="No data","x",IF(VLOOKUP($B102,'Indicator Data (national)'!$B$5:$AQ$14,33,FALSE)&gt;K$150,10,IF(VLOOKUP($B102,'Indicator Data (national)'!$B$5:$AQ$14,33,FALSE)&lt;K$149,0,(K$150-VLOOKUP($B102,'Indicator Data (national)'!$B$5:$AQ$14,33,FALSE))/(K$150-K$149)*10)))</f>
        <v>9.6999999999999993</v>
      </c>
      <c r="L102" s="2">
        <f>IF(VLOOKUP($B102,'Indicator Data (national)'!$B$5:$AQ$14,34,FALSE)="No data","x",IF(VLOOKUP($B102,'Indicator Data (national)'!$B$5:$AQ$14,34,FALSE)&gt;L$150,10,IF(VLOOKUP($B102,'Indicator Data (national)'!$B$5:$AQ$14,34,FALSE)&lt;L$149,0,(L$150-VLOOKUP($B102,'Indicator Data (national)'!$B$5:$AQ$14,34,FALSE))/(L$150-L$149)*10)))</f>
        <v>5.0617321591378008</v>
      </c>
      <c r="M102" s="3">
        <f t="shared" si="25"/>
        <v>7.3808660795689001</v>
      </c>
      <c r="N102" s="2" t="str">
        <f>IF(VLOOKUP($B102,'Indicator Data (national)'!$B$5:$AS$14,44,FALSE)="No data","x",IF(VLOOKUP($B102,'Indicator Data (national)'!$B$5:$AS$14,44,FALSE)&gt;N$150,10,IF(VLOOKUP($B102,'Indicator Data (national)'!$B$5:$AS$14,44,FALSE)&lt;N$149,0,10-(N$150-VLOOKUP($B102,'Indicator Data (national)'!$B$5:$AS$14,44,FALSE))/(N$150-N$149)*10)))</f>
        <v>x</v>
      </c>
      <c r="O102" s="2">
        <f>IF(VLOOKUP($B102,'Indicator Data (national)'!$B$5:$AS$14,42,FALSE)="No data","x",IF(VLOOKUP($B102,'Indicator Data (national)'!$B$5:$AS$14,42,FALSE)&gt;O$150,0,IF(VLOOKUP($B102,'Indicator Data (national)'!$B$5:$AS$14,42,FALSE)&lt;O$149,10,(O$150-VLOOKUP($B102,'Indicator Data (national)'!$B$5:$AS$14,42,FALSE))/(O$150-O$149)*10)))</f>
        <v>9.8657718167785227</v>
      </c>
      <c r="P102" s="158">
        <f t="shared" si="26"/>
        <v>9.8657718167785227</v>
      </c>
      <c r="Q102" s="2">
        <f>IF(VLOOKUP($B102,'Indicator Data (national)'!$B$5:$Q$14,16,FALSE)="No data","x",IF(VLOOKUP($B102,'Indicator Data (national)'!$B$5:$Q$14,16,FALSE)&gt;Q$150,0,IF(VLOOKUP($B102,'Indicator Data (national)'!$B$5:$Q$14,16,FALSE)&lt;Q$149,10,(Q$150-VLOOKUP($B102,'Indicator Data (national)'!$B$5:$Q$14,16,FALSE))/(Q$150-Q$149)*10)))</f>
        <v>9.6</v>
      </c>
      <c r="R102" s="158">
        <f t="shared" si="27"/>
        <v>9.6</v>
      </c>
      <c r="S102" s="3">
        <f t="shared" si="33"/>
        <v>9.7328859083892603</v>
      </c>
      <c r="T102" s="2">
        <f>IF(VLOOKUP($B102,'Indicator Data (national)'!$B$5:$BC$14,43,FALSE)="No data","x",IF(VLOOKUP($B102,'Indicator Data (national)'!$B$5:$BC$14,43,FALSE)&gt;T$150,10,IF(VLOOKUP($B102,'Indicator Data (national)'!$B$5:$BC$14,43,FALSE)&lt;T$149,0,(T$150-VLOOKUP($B102,'Indicator Data (national)'!$B$5:$BC$14,43,FALSE))/(T$150-T$149)*10)))</f>
        <v>8.5136604607862196</v>
      </c>
      <c r="U102" s="3">
        <f t="shared" si="28"/>
        <v>8.5136604607862196</v>
      </c>
      <c r="V102" s="5">
        <f t="shared" si="34"/>
        <v>8.5424708162481267</v>
      </c>
      <c r="W102" s="2">
        <f>IF(VLOOKUP($B102,'Indicator Data (national)'!$B$5:$AS$14,37,FALSE)="No data","x",IF(VLOOKUP($B102,'Indicator Data (national)'!$B$5:$AS$14,37,FALSE)&gt;W$150,10,IF(VLOOKUP($B102,'Indicator Data (national)'!$B$5:$AS$14,37,FALSE)&lt;W$149,0,(LOG(W$150)-LOG(VLOOKUP($B102,'Indicator Data (national)'!$B$5:$AS$14,37,FALSE)))/(LOG(W$150)-LOG(W$149))*10)))</f>
        <v>9.6558878146011455</v>
      </c>
      <c r="X102" s="2">
        <f>IF(VLOOKUP($B102,'Indicator Data (national)'!$B$5:$BB$14,45,FALSE)="No data","x",IF(VLOOKUP($B102,'Indicator Data (national)'!$B$5:$BB$14,45,FALSE)&gt;X$150,10,IF(VLOOKUP($B102,'Indicator Data (national)'!$B$5:$BB$14,45,FALSE)&lt;X$149,0,10-(X$150-VLOOKUP($B102,'Indicator Data (national)'!$B$5:$BB$14,45,FALSE))/(X$150-X$149)*10)))</f>
        <v>8.6666666666666661</v>
      </c>
      <c r="Y102" s="2">
        <f>IF(VLOOKUP($B102,'Indicator Data (national)'!$B$5:$BB$14,46,FALSE)="No data","x",IF(VLOOKUP($B102,'Indicator Data (national)'!$B$5:$BB$14,46,FALSE)&gt;Y$150,10,IF(VLOOKUP($B102,'Indicator Data (national)'!$B$5:$BB$14,46,FALSE)&lt;Y$149,0,(Y$150-VLOOKUP($B102,'Indicator Data (national)'!$B$5:$BB$14,46,FALSE))/(Y$150-Y$149)*10)))</f>
        <v>7</v>
      </c>
      <c r="Z102" s="156">
        <f>IF(VLOOKUP($B102,'Indicator Data (national)'!$B$5:$BB$14,48,FALSE)="No data","x",VLOOKUP($B102,'Indicator Data (national)'!$B$5:$BB$14,47,FALSE)*VLOOKUP($B102,'Indicator Data (national)'!$B$5:$BB$14,48,FALSE))</f>
        <v>7.8825963475823286</v>
      </c>
      <c r="AA102" s="2">
        <f t="shared" si="29"/>
        <v>9.2117403652417664</v>
      </c>
      <c r="AB102" s="3">
        <f t="shared" si="30"/>
        <v>8.6335737116273936</v>
      </c>
      <c r="AC102" s="2" t="str">
        <f>IF(VLOOKUP($B102,'Indicator Data (national)'!$B$5:$BB$14,49,FALSE)="No data","x",IF(VLOOKUP($B102,'Indicator Data (national)'!$B$5:$BB$14,49,FALSE)&gt;AC$150,0,IF(VLOOKUP($B102,'Indicator Data (national)'!$B$5:$BB$14,49,FALSE)&lt;AC$149,10,(AC$150-VLOOKUP($B102,'Indicator Data (national)'!$B$5:$BB$14,49,FALSE))/(AC$150-AC$149)*10)))</f>
        <v>x</v>
      </c>
      <c r="AD102" s="2" t="str">
        <f>IF(VLOOKUP($B102,'Indicator Data (national)'!$B$5:$BB$14,50,FALSE)="No data","x",IF(VLOOKUP($B102,'Indicator Data (national)'!$B$5:$BB$14,50,FALSE)&gt;AD$150,0,IF(VLOOKUP($B102,'Indicator Data (national)'!$B$5:$BB$14,50,FALSE)&lt;AD$149,10,(AD$150-VLOOKUP($B102,'Indicator Data (national)'!$B$5:$BB$14,50,FALSE))/(AD$150-AD$149)*10)))</f>
        <v>x</v>
      </c>
      <c r="AE102" s="3" t="str">
        <f t="shared" si="31"/>
        <v>x</v>
      </c>
      <c r="AF102" s="2">
        <f>IF(VLOOKUP($B102,'Indicator Data (national)'!$B$5:$BB$14,51,FALSE)="No data","x",IF(VLOOKUP($B102,'Indicator Data (national)'!$B$5:$BB$14,51,FALSE)&gt;AF$150,0,IF(VLOOKUP($B102,'Indicator Data (national)'!$B$5:$BB$14,51,FALSE)&lt;AF$149,10,(AF$150-VLOOKUP($B102,'Indicator Data (national)'!$B$5:$BB$14,51,FALSE))/(AF$150-AF$149)*10)))</f>
        <v>10</v>
      </c>
      <c r="AG102" s="2">
        <f>IF(VLOOKUP($B102,'Indicator Data (national)'!$B$5:$BB$14,52,FALSE)="No data","x",IF(VLOOKUP($B102,'Indicator Data (national)'!$B$5:$BB$14,52,FALSE)&gt;AG$150,0,IF(VLOOKUP($B102,'Indicator Data (national)'!$B$5:$BB$14,52,FALSE)&lt;AG$149,10,(AG$150-VLOOKUP($B102,'Indicator Data (national)'!$B$5:$BB$14,52,FALSE))/(AG$150-AG$149)*10)))</f>
        <v>3.5586119999999992</v>
      </c>
      <c r="AH102" s="2">
        <f>IF(VLOOKUP($B102,'Indicator Data (national)'!$B$5:$BB$14,53,FALSE)="No data","x",IF(VLOOKUP($B102,'Indicator Data (national)'!$B$5:$BB$14,53,FALSE)&gt;AH$150,0,IF(VLOOKUP($B102,'Indicator Data (national)'!$B$5:$BB$14,53,FALSE)&lt;AH$149,10,(AH$150-VLOOKUP($B102,'Indicator Data (national)'!$B$5:$BB$14,53,FALSE))/(AH$150-AH$149)*10)))</f>
        <v>0</v>
      </c>
      <c r="AI102" s="3">
        <f t="shared" si="32"/>
        <v>4.5195373333333331</v>
      </c>
      <c r="AJ102" s="5">
        <f t="shared" si="35"/>
        <v>6.5765555224803638</v>
      </c>
    </row>
    <row r="103" spans="1:36" s="11" customFormat="1" x14ac:dyDescent="0.25">
      <c r="A103" s="16" t="s">
        <v>486</v>
      </c>
      <c r="B103" s="11" t="s">
        <v>578</v>
      </c>
      <c r="C103" s="16" t="s">
        <v>487</v>
      </c>
      <c r="D103" s="120">
        <f>(VLOOKUP($B103,'Indicator Data (national)'!$B$5:$AP$14,39,FALSE)+VLOOKUP($B103,'Indicator Data (national)'!$B$5:$AP$14,40,FALSE)+VLOOKUP($B103,'Indicator Data (national)'!$B$5:$AP$14,41,FALSE))/VLOOKUP($B103,'Indicator Data (national)'!$B$5:$AP$14,38,FALSE)*1000000</f>
        <v>0.84607019924476812</v>
      </c>
      <c r="E103" s="2">
        <f t="shared" si="21"/>
        <v>5.7696490037761592</v>
      </c>
      <c r="F103" s="3">
        <f t="shared" si="22"/>
        <v>5.7696490037761592</v>
      </c>
      <c r="G103" s="2">
        <f>IF(VLOOKUP($B103,'Indicator Data (national)'!$B$5:$AQ$14,30,FALSE)="No data","x",IF(VLOOKUP($B103,'Indicator Data (national)'!$B$5:$AQ$14,30,FALSE)&gt;G$150,10,IF(VLOOKUP($B103,'Indicator Data (national)'!$B$5:$AQ$14,30,FALSE)&lt;G$149,0,(G$150-VLOOKUP($B103,'Indicator Data (national)'!$B$5:$AQ$14,30,FALSE))/(G$150-G$149)*10)))</f>
        <v>9.2000000000000011</v>
      </c>
      <c r="H103" s="2">
        <f>IF(VLOOKUP($B103,'Indicator Data (national)'!$B$5:$AQ$14,29,FALSE)="No data","x",IF(VLOOKUP($B103,'Indicator Data (national)'!$B$5:$AQ$14,29,FALSE)&gt;H$150,10,IF(VLOOKUP($B103,'Indicator Data (national)'!$B$5:$AQ$14,29,FALSE)&lt;H$149,0,(H$150-VLOOKUP($B103,'Indicator Data (national)'!$B$5:$AQ$14,29,FALSE))/(H$150-H$149)*10)))</f>
        <v>9.4153704643249512</v>
      </c>
      <c r="I103" s="3">
        <f t="shared" si="23"/>
        <v>9.307685232162477</v>
      </c>
      <c r="J103" s="5">
        <f t="shared" si="24"/>
        <v>7.5386671179693181</v>
      </c>
      <c r="K103" s="2">
        <f>IF(VLOOKUP($B103,'Indicator Data (national)'!$B$5:$AQ$14,33,FALSE)="No data","x",IF(VLOOKUP($B103,'Indicator Data (national)'!$B$5:$AQ$14,33,FALSE)&gt;K$150,10,IF(VLOOKUP($B103,'Indicator Data (national)'!$B$5:$AQ$14,33,FALSE)&lt;K$149,0,(K$150-VLOOKUP($B103,'Indicator Data (national)'!$B$5:$AQ$14,33,FALSE))/(K$150-K$149)*10)))</f>
        <v>9.6999999999999993</v>
      </c>
      <c r="L103" s="2">
        <f>IF(VLOOKUP($B103,'Indicator Data (national)'!$B$5:$AQ$14,34,FALSE)="No data","x",IF(VLOOKUP($B103,'Indicator Data (national)'!$B$5:$AQ$14,34,FALSE)&gt;L$150,10,IF(VLOOKUP($B103,'Indicator Data (national)'!$B$5:$AQ$14,34,FALSE)&lt;L$149,0,(L$150-VLOOKUP($B103,'Indicator Data (national)'!$B$5:$AQ$14,34,FALSE))/(L$150-L$149)*10)))</f>
        <v>5.0617321591378008</v>
      </c>
      <c r="M103" s="3">
        <f t="shared" si="25"/>
        <v>7.3808660795689001</v>
      </c>
      <c r="N103" s="2" t="str">
        <f>IF(VLOOKUP($B103,'Indicator Data (national)'!$B$5:$AS$14,44,FALSE)="No data","x",IF(VLOOKUP($B103,'Indicator Data (national)'!$B$5:$AS$14,44,FALSE)&gt;N$150,10,IF(VLOOKUP($B103,'Indicator Data (national)'!$B$5:$AS$14,44,FALSE)&lt;N$149,0,10-(N$150-VLOOKUP($B103,'Indicator Data (national)'!$B$5:$AS$14,44,FALSE))/(N$150-N$149)*10)))</f>
        <v>x</v>
      </c>
      <c r="O103" s="2">
        <f>IF(VLOOKUP($B103,'Indicator Data (national)'!$B$5:$AS$14,42,FALSE)="No data","x",IF(VLOOKUP($B103,'Indicator Data (national)'!$B$5:$AS$14,42,FALSE)&gt;O$150,0,IF(VLOOKUP($B103,'Indicator Data (national)'!$B$5:$AS$14,42,FALSE)&lt;O$149,10,(O$150-VLOOKUP($B103,'Indicator Data (national)'!$B$5:$AS$14,42,FALSE))/(O$150-O$149)*10)))</f>
        <v>9.8657718167785227</v>
      </c>
      <c r="P103" s="158">
        <f t="shared" si="26"/>
        <v>9.8657718167785227</v>
      </c>
      <c r="Q103" s="2">
        <f>IF(VLOOKUP($B103,'Indicator Data (national)'!$B$5:$Q$14,16,FALSE)="No data","x",IF(VLOOKUP($B103,'Indicator Data (national)'!$B$5:$Q$14,16,FALSE)&gt;Q$150,0,IF(VLOOKUP($B103,'Indicator Data (national)'!$B$5:$Q$14,16,FALSE)&lt;Q$149,10,(Q$150-VLOOKUP($B103,'Indicator Data (national)'!$B$5:$Q$14,16,FALSE))/(Q$150-Q$149)*10)))</f>
        <v>9.6</v>
      </c>
      <c r="R103" s="158">
        <f t="shared" si="27"/>
        <v>9.6</v>
      </c>
      <c r="S103" s="3">
        <f t="shared" si="33"/>
        <v>9.7328859083892603</v>
      </c>
      <c r="T103" s="2">
        <f>IF(VLOOKUP($B103,'Indicator Data (national)'!$B$5:$BC$14,43,FALSE)="No data","x",IF(VLOOKUP($B103,'Indicator Data (national)'!$B$5:$BC$14,43,FALSE)&gt;T$150,10,IF(VLOOKUP($B103,'Indicator Data (national)'!$B$5:$BC$14,43,FALSE)&lt;T$149,0,(T$150-VLOOKUP($B103,'Indicator Data (national)'!$B$5:$BC$14,43,FALSE))/(T$150-T$149)*10)))</f>
        <v>8.5136604607862196</v>
      </c>
      <c r="U103" s="3">
        <f t="shared" si="28"/>
        <v>8.5136604607862196</v>
      </c>
      <c r="V103" s="5">
        <f t="shared" si="34"/>
        <v>8.5424708162481267</v>
      </c>
      <c r="W103" s="2">
        <f>IF(VLOOKUP($B103,'Indicator Data (national)'!$B$5:$AS$14,37,FALSE)="No data","x",IF(VLOOKUP($B103,'Indicator Data (national)'!$B$5:$AS$14,37,FALSE)&gt;W$150,10,IF(VLOOKUP($B103,'Indicator Data (national)'!$B$5:$AS$14,37,FALSE)&lt;W$149,0,(LOG(W$150)-LOG(VLOOKUP($B103,'Indicator Data (national)'!$B$5:$AS$14,37,FALSE)))/(LOG(W$150)-LOG(W$149))*10)))</f>
        <v>9.6558878146011455</v>
      </c>
      <c r="X103" s="2">
        <f>IF(VLOOKUP($B103,'Indicator Data (national)'!$B$5:$BB$14,45,FALSE)="No data","x",IF(VLOOKUP($B103,'Indicator Data (national)'!$B$5:$BB$14,45,FALSE)&gt;X$150,10,IF(VLOOKUP($B103,'Indicator Data (national)'!$B$5:$BB$14,45,FALSE)&lt;X$149,0,10-(X$150-VLOOKUP($B103,'Indicator Data (national)'!$B$5:$BB$14,45,FALSE))/(X$150-X$149)*10)))</f>
        <v>8.6666666666666661</v>
      </c>
      <c r="Y103" s="2">
        <f>IF(VLOOKUP($B103,'Indicator Data (national)'!$B$5:$BB$14,46,FALSE)="No data","x",IF(VLOOKUP($B103,'Indicator Data (national)'!$B$5:$BB$14,46,FALSE)&gt;Y$150,10,IF(VLOOKUP($B103,'Indicator Data (national)'!$B$5:$BB$14,46,FALSE)&lt;Y$149,0,(Y$150-VLOOKUP($B103,'Indicator Data (national)'!$B$5:$BB$14,46,FALSE))/(Y$150-Y$149)*10)))</f>
        <v>7</v>
      </c>
      <c r="Z103" s="156">
        <f>IF(VLOOKUP($B103,'Indicator Data (national)'!$B$5:$BB$14,48,FALSE)="No data","x",VLOOKUP($B103,'Indicator Data (national)'!$B$5:$BB$14,47,FALSE)*VLOOKUP($B103,'Indicator Data (national)'!$B$5:$BB$14,48,FALSE))</f>
        <v>7.8825963475823286</v>
      </c>
      <c r="AA103" s="2">
        <f t="shared" si="29"/>
        <v>9.2117403652417664</v>
      </c>
      <c r="AB103" s="3">
        <f t="shared" si="30"/>
        <v>8.6335737116273936</v>
      </c>
      <c r="AC103" s="2" t="str">
        <f>IF(VLOOKUP($B103,'Indicator Data (national)'!$B$5:$BB$14,49,FALSE)="No data","x",IF(VLOOKUP($B103,'Indicator Data (national)'!$B$5:$BB$14,49,FALSE)&gt;AC$150,0,IF(VLOOKUP($B103,'Indicator Data (national)'!$B$5:$BB$14,49,FALSE)&lt;AC$149,10,(AC$150-VLOOKUP($B103,'Indicator Data (national)'!$B$5:$BB$14,49,FALSE))/(AC$150-AC$149)*10)))</f>
        <v>x</v>
      </c>
      <c r="AD103" s="2" t="str">
        <f>IF(VLOOKUP($B103,'Indicator Data (national)'!$B$5:$BB$14,50,FALSE)="No data","x",IF(VLOOKUP($B103,'Indicator Data (national)'!$B$5:$BB$14,50,FALSE)&gt;AD$150,0,IF(VLOOKUP($B103,'Indicator Data (national)'!$B$5:$BB$14,50,FALSE)&lt;AD$149,10,(AD$150-VLOOKUP($B103,'Indicator Data (national)'!$B$5:$BB$14,50,FALSE))/(AD$150-AD$149)*10)))</f>
        <v>x</v>
      </c>
      <c r="AE103" s="3" t="str">
        <f t="shared" si="31"/>
        <v>x</v>
      </c>
      <c r="AF103" s="2">
        <f>IF(VLOOKUP($B103,'Indicator Data (national)'!$B$5:$BB$14,51,FALSE)="No data","x",IF(VLOOKUP($B103,'Indicator Data (national)'!$B$5:$BB$14,51,FALSE)&gt;AF$150,0,IF(VLOOKUP($B103,'Indicator Data (national)'!$B$5:$BB$14,51,FALSE)&lt;AF$149,10,(AF$150-VLOOKUP($B103,'Indicator Data (national)'!$B$5:$BB$14,51,FALSE))/(AF$150-AF$149)*10)))</f>
        <v>10</v>
      </c>
      <c r="AG103" s="2">
        <f>IF(VLOOKUP($B103,'Indicator Data (national)'!$B$5:$BB$14,52,FALSE)="No data","x",IF(VLOOKUP($B103,'Indicator Data (national)'!$B$5:$BB$14,52,FALSE)&gt;AG$150,0,IF(VLOOKUP($B103,'Indicator Data (national)'!$B$5:$BB$14,52,FALSE)&lt;AG$149,10,(AG$150-VLOOKUP($B103,'Indicator Data (national)'!$B$5:$BB$14,52,FALSE))/(AG$150-AG$149)*10)))</f>
        <v>3.5586119999999992</v>
      </c>
      <c r="AH103" s="2">
        <f>IF(VLOOKUP($B103,'Indicator Data (national)'!$B$5:$BB$14,53,FALSE)="No data","x",IF(VLOOKUP($B103,'Indicator Data (national)'!$B$5:$BB$14,53,FALSE)&gt;AH$150,0,IF(VLOOKUP($B103,'Indicator Data (national)'!$B$5:$BB$14,53,FALSE)&lt;AH$149,10,(AH$150-VLOOKUP($B103,'Indicator Data (national)'!$B$5:$BB$14,53,FALSE))/(AH$150-AH$149)*10)))</f>
        <v>0</v>
      </c>
      <c r="AI103" s="3">
        <f t="shared" si="32"/>
        <v>4.5195373333333331</v>
      </c>
      <c r="AJ103" s="5">
        <f t="shared" si="35"/>
        <v>6.5765555224803638</v>
      </c>
    </row>
    <row r="104" spans="1:36" s="11" customFormat="1" x14ac:dyDescent="0.25">
      <c r="A104" s="16" t="s">
        <v>488</v>
      </c>
      <c r="B104" s="11" t="s">
        <v>578</v>
      </c>
      <c r="C104" s="16" t="s">
        <v>489</v>
      </c>
      <c r="D104" s="120">
        <f>(VLOOKUP($B104,'Indicator Data (national)'!$B$5:$AP$14,39,FALSE)+VLOOKUP($B104,'Indicator Data (national)'!$B$5:$AP$14,40,FALSE)+VLOOKUP($B104,'Indicator Data (national)'!$B$5:$AP$14,41,FALSE))/VLOOKUP($B104,'Indicator Data (national)'!$B$5:$AP$14,38,FALSE)*1000000</f>
        <v>0.84607019924476812</v>
      </c>
      <c r="E104" s="2">
        <f t="shared" si="21"/>
        <v>5.7696490037761592</v>
      </c>
      <c r="F104" s="3">
        <f t="shared" si="22"/>
        <v>5.7696490037761592</v>
      </c>
      <c r="G104" s="2">
        <f>IF(VLOOKUP($B104,'Indicator Data (national)'!$B$5:$AQ$14,30,FALSE)="No data","x",IF(VLOOKUP($B104,'Indicator Data (national)'!$B$5:$AQ$14,30,FALSE)&gt;G$150,10,IF(VLOOKUP($B104,'Indicator Data (national)'!$B$5:$AQ$14,30,FALSE)&lt;G$149,0,(G$150-VLOOKUP($B104,'Indicator Data (national)'!$B$5:$AQ$14,30,FALSE))/(G$150-G$149)*10)))</f>
        <v>9.2000000000000011</v>
      </c>
      <c r="H104" s="2">
        <f>IF(VLOOKUP($B104,'Indicator Data (national)'!$B$5:$AQ$14,29,FALSE)="No data","x",IF(VLOOKUP($B104,'Indicator Data (national)'!$B$5:$AQ$14,29,FALSE)&gt;H$150,10,IF(VLOOKUP($B104,'Indicator Data (national)'!$B$5:$AQ$14,29,FALSE)&lt;H$149,0,(H$150-VLOOKUP($B104,'Indicator Data (national)'!$B$5:$AQ$14,29,FALSE))/(H$150-H$149)*10)))</f>
        <v>9.4153704643249512</v>
      </c>
      <c r="I104" s="3">
        <f t="shared" si="23"/>
        <v>9.307685232162477</v>
      </c>
      <c r="J104" s="5">
        <f t="shared" si="24"/>
        <v>7.5386671179693181</v>
      </c>
      <c r="K104" s="2">
        <f>IF(VLOOKUP($B104,'Indicator Data (national)'!$B$5:$AQ$14,33,FALSE)="No data","x",IF(VLOOKUP($B104,'Indicator Data (national)'!$B$5:$AQ$14,33,FALSE)&gt;K$150,10,IF(VLOOKUP($B104,'Indicator Data (national)'!$B$5:$AQ$14,33,FALSE)&lt;K$149,0,(K$150-VLOOKUP($B104,'Indicator Data (national)'!$B$5:$AQ$14,33,FALSE))/(K$150-K$149)*10)))</f>
        <v>9.6999999999999993</v>
      </c>
      <c r="L104" s="2">
        <f>IF(VLOOKUP($B104,'Indicator Data (national)'!$B$5:$AQ$14,34,FALSE)="No data","x",IF(VLOOKUP($B104,'Indicator Data (national)'!$B$5:$AQ$14,34,FALSE)&gt;L$150,10,IF(VLOOKUP($B104,'Indicator Data (national)'!$B$5:$AQ$14,34,FALSE)&lt;L$149,0,(L$150-VLOOKUP($B104,'Indicator Data (national)'!$B$5:$AQ$14,34,FALSE))/(L$150-L$149)*10)))</f>
        <v>5.0617321591378008</v>
      </c>
      <c r="M104" s="3">
        <f t="shared" si="25"/>
        <v>7.3808660795689001</v>
      </c>
      <c r="N104" s="2" t="str">
        <f>IF(VLOOKUP($B104,'Indicator Data (national)'!$B$5:$AS$14,44,FALSE)="No data","x",IF(VLOOKUP($B104,'Indicator Data (national)'!$B$5:$AS$14,44,FALSE)&gt;N$150,10,IF(VLOOKUP($B104,'Indicator Data (national)'!$B$5:$AS$14,44,FALSE)&lt;N$149,0,10-(N$150-VLOOKUP($B104,'Indicator Data (national)'!$B$5:$AS$14,44,FALSE))/(N$150-N$149)*10)))</f>
        <v>x</v>
      </c>
      <c r="O104" s="2">
        <f>IF(VLOOKUP($B104,'Indicator Data (national)'!$B$5:$AS$14,42,FALSE)="No data","x",IF(VLOOKUP($B104,'Indicator Data (national)'!$B$5:$AS$14,42,FALSE)&gt;O$150,0,IF(VLOOKUP($B104,'Indicator Data (national)'!$B$5:$AS$14,42,FALSE)&lt;O$149,10,(O$150-VLOOKUP($B104,'Indicator Data (national)'!$B$5:$AS$14,42,FALSE))/(O$150-O$149)*10)))</f>
        <v>9.8657718167785227</v>
      </c>
      <c r="P104" s="158">
        <f t="shared" si="26"/>
        <v>9.8657718167785227</v>
      </c>
      <c r="Q104" s="2">
        <f>IF(VLOOKUP($B104,'Indicator Data (national)'!$B$5:$Q$14,16,FALSE)="No data","x",IF(VLOOKUP($B104,'Indicator Data (national)'!$B$5:$Q$14,16,FALSE)&gt;Q$150,0,IF(VLOOKUP($B104,'Indicator Data (national)'!$B$5:$Q$14,16,FALSE)&lt;Q$149,10,(Q$150-VLOOKUP($B104,'Indicator Data (national)'!$B$5:$Q$14,16,FALSE))/(Q$150-Q$149)*10)))</f>
        <v>9.6</v>
      </c>
      <c r="R104" s="158">
        <f t="shared" si="27"/>
        <v>9.6</v>
      </c>
      <c r="S104" s="3">
        <f t="shared" si="33"/>
        <v>9.7328859083892603</v>
      </c>
      <c r="T104" s="2">
        <f>IF(VLOOKUP($B104,'Indicator Data (national)'!$B$5:$BC$14,43,FALSE)="No data","x",IF(VLOOKUP($B104,'Indicator Data (national)'!$B$5:$BC$14,43,FALSE)&gt;T$150,10,IF(VLOOKUP($B104,'Indicator Data (national)'!$B$5:$BC$14,43,FALSE)&lt;T$149,0,(T$150-VLOOKUP($B104,'Indicator Data (national)'!$B$5:$BC$14,43,FALSE))/(T$150-T$149)*10)))</f>
        <v>8.5136604607862196</v>
      </c>
      <c r="U104" s="3">
        <f t="shared" si="28"/>
        <v>8.5136604607862196</v>
      </c>
      <c r="V104" s="5">
        <f t="shared" si="34"/>
        <v>8.5424708162481267</v>
      </c>
      <c r="W104" s="2">
        <f>IF(VLOOKUP($B104,'Indicator Data (national)'!$B$5:$AS$14,37,FALSE)="No data","x",IF(VLOOKUP($B104,'Indicator Data (national)'!$B$5:$AS$14,37,FALSE)&gt;W$150,10,IF(VLOOKUP($B104,'Indicator Data (national)'!$B$5:$AS$14,37,FALSE)&lt;W$149,0,(LOG(W$150)-LOG(VLOOKUP($B104,'Indicator Data (national)'!$B$5:$AS$14,37,FALSE)))/(LOG(W$150)-LOG(W$149))*10)))</f>
        <v>9.6558878146011455</v>
      </c>
      <c r="X104" s="2">
        <f>IF(VLOOKUP($B104,'Indicator Data (national)'!$B$5:$BB$14,45,FALSE)="No data","x",IF(VLOOKUP($B104,'Indicator Data (national)'!$B$5:$BB$14,45,FALSE)&gt;X$150,10,IF(VLOOKUP($B104,'Indicator Data (national)'!$B$5:$BB$14,45,FALSE)&lt;X$149,0,10-(X$150-VLOOKUP($B104,'Indicator Data (national)'!$B$5:$BB$14,45,FALSE))/(X$150-X$149)*10)))</f>
        <v>8.6666666666666661</v>
      </c>
      <c r="Y104" s="2">
        <f>IF(VLOOKUP($B104,'Indicator Data (national)'!$B$5:$BB$14,46,FALSE)="No data","x",IF(VLOOKUP($B104,'Indicator Data (national)'!$B$5:$BB$14,46,FALSE)&gt;Y$150,10,IF(VLOOKUP($B104,'Indicator Data (national)'!$B$5:$BB$14,46,FALSE)&lt;Y$149,0,(Y$150-VLOOKUP($B104,'Indicator Data (national)'!$B$5:$BB$14,46,FALSE))/(Y$150-Y$149)*10)))</f>
        <v>7</v>
      </c>
      <c r="Z104" s="156">
        <f>IF(VLOOKUP($B104,'Indicator Data (national)'!$B$5:$BB$14,48,FALSE)="No data","x",VLOOKUP($B104,'Indicator Data (national)'!$B$5:$BB$14,47,FALSE)*VLOOKUP($B104,'Indicator Data (national)'!$B$5:$BB$14,48,FALSE))</f>
        <v>7.8825963475823286</v>
      </c>
      <c r="AA104" s="2">
        <f t="shared" si="29"/>
        <v>9.2117403652417664</v>
      </c>
      <c r="AB104" s="3">
        <f t="shared" si="30"/>
        <v>8.6335737116273936</v>
      </c>
      <c r="AC104" s="2" t="str">
        <f>IF(VLOOKUP($B104,'Indicator Data (national)'!$B$5:$BB$14,49,FALSE)="No data","x",IF(VLOOKUP($B104,'Indicator Data (national)'!$B$5:$BB$14,49,FALSE)&gt;AC$150,0,IF(VLOOKUP($B104,'Indicator Data (national)'!$B$5:$BB$14,49,FALSE)&lt;AC$149,10,(AC$150-VLOOKUP($B104,'Indicator Data (national)'!$B$5:$BB$14,49,FALSE))/(AC$150-AC$149)*10)))</f>
        <v>x</v>
      </c>
      <c r="AD104" s="2" t="str">
        <f>IF(VLOOKUP($B104,'Indicator Data (national)'!$B$5:$BB$14,50,FALSE)="No data","x",IF(VLOOKUP($B104,'Indicator Data (national)'!$B$5:$BB$14,50,FALSE)&gt;AD$150,0,IF(VLOOKUP($B104,'Indicator Data (national)'!$B$5:$BB$14,50,FALSE)&lt;AD$149,10,(AD$150-VLOOKUP($B104,'Indicator Data (national)'!$B$5:$BB$14,50,FALSE))/(AD$150-AD$149)*10)))</f>
        <v>x</v>
      </c>
      <c r="AE104" s="3" t="str">
        <f t="shared" si="31"/>
        <v>x</v>
      </c>
      <c r="AF104" s="2">
        <f>IF(VLOOKUP($B104,'Indicator Data (national)'!$B$5:$BB$14,51,FALSE)="No data","x",IF(VLOOKUP($B104,'Indicator Data (national)'!$B$5:$BB$14,51,FALSE)&gt;AF$150,0,IF(VLOOKUP($B104,'Indicator Data (national)'!$B$5:$BB$14,51,FALSE)&lt;AF$149,10,(AF$150-VLOOKUP($B104,'Indicator Data (national)'!$B$5:$BB$14,51,FALSE))/(AF$150-AF$149)*10)))</f>
        <v>10</v>
      </c>
      <c r="AG104" s="2">
        <f>IF(VLOOKUP($B104,'Indicator Data (national)'!$B$5:$BB$14,52,FALSE)="No data","x",IF(VLOOKUP($B104,'Indicator Data (national)'!$B$5:$BB$14,52,FALSE)&gt;AG$150,0,IF(VLOOKUP($B104,'Indicator Data (national)'!$B$5:$BB$14,52,FALSE)&lt;AG$149,10,(AG$150-VLOOKUP($B104,'Indicator Data (national)'!$B$5:$BB$14,52,FALSE))/(AG$150-AG$149)*10)))</f>
        <v>3.5586119999999992</v>
      </c>
      <c r="AH104" s="2">
        <f>IF(VLOOKUP($B104,'Indicator Data (national)'!$B$5:$BB$14,53,FALSE)="No data","x",IF(VLOOKUP($B104,'Indicator Data (national)'!$B$5:$BB$14,53,FALSE)&gt;AH$150,0,IF(VLOOKUP($B104,'Indicator Data (national)'!$B$5:$BB$14,53,FALSE)&lt;AH$149,10,(AH$150-VLOOKUP($B104,'Indicator Data (national)'!$B$5:$BB$14,53,FALSE))/(AH$150-AH$149)*10)))</f>
        <v>0</v>
      </c>
      <c r="AI104" s="3">
        <f t="shared" si="32"/>
        <v>4.5195373333333331</v>
      </c>
      <c r="AJ104" s="5">
        <f t="shared" si="35"/>
        <v>6.5765555224803638</v>
      </c>
    </row>
    <row r="105" spans="1:36" s="11" customFormat="1" x14ac:dyDescent="0.25">
      <c r="A105" s="16" t="s">
        <v>490</v>
      </c>
      <c r="B105" s="11" t="s">
        <v>578</v>
      </c>
      <c r="C105" s="16" t="s">
        <v>491</v>
      </c>
      <c r="D105" s="120">
        <f>(VLOOKUP($B105,'Indicator Data (national)'!$B$5:$AP$14,39,FALSE)+VLOOKUP($B105,'Indicator Data (national)'!$B$5:$AP$14,40,FALSE)+VLOOKUP($B105,'Indicator Data (national)'!$B$5:$AP$14,41,FALSE))/VLOOKUP($B105,'Indicator Data (national)'!$B$5:$AP$14,38,FALSE)*1000000</f>
        <v>0.84607019924476812</v>
      </c>
      <c r="E105" s="2">
        <f t="shared" si="21"/>
        <v>5.7696490037761592</v>
      </c>
      <c r="F105" s="3">
        <f t="shared" si="22"/>
        <v>5.7696490037761592</v>
      </c>
      <c r="G105" s="2">
        <f>IF(VLOOKUP($B105,'Indicator Data (national)'!$B$5:$AQ$14,30,FALSE)="No data","x",IF(VLOOKUP($B105,'Indicator Data (national)'!$B$5:$AQ$14,30,FALSE)&gt;G$150,10,IF(VLOOKUP($B105,'Indicator Data (national)'!$B$5:$AQ$14,30,FALSE)&lt;G$149,0,(G$150-VLOOKUP($B105,'Indicator Data (national)'!$B$5:$AQ$14,30,FALSE))/(G$150-G$149)*10)))</f>
        <v>9.2000000000000011</v>
      </c>
      <c r="H105" s="2">
        <f>IF(VLOOKUP($B105,'Indicator Data (national)'!$B$5:$AQ$14,29,FALSE)="No data","x",IF(VLOOKUP($B105,'Indicator Data (national)'!$B$5:$AQ$14,29,FALSE)&gt;H$150,10,IF(VLOOKUP($B105,'Indicator Data (national)'!$B$5:$AQ$14,29,FALSE)&lt;H$149,0,(H$150-VLOOKUP($B105,'Indicator Data (national)'!$B$5:$AQ$14,29,FALSE))/(H$150-H$149)*10)))</f>
        <v>9.4153704643249512</v>
      </c>
      <c r="I105" s="3">
        <f t="shared" si="23"/>
        <v>9.307685232162477</v>
      </c>
      <c r="J105" s="5">
        <f t="shared" si="24"/>
        <v>7.5386671179693181</v>
      </c>
      <c r="K105" s="2">
        <f>IF(VLOOKUP($B105,'Indicator Data (national)'!$B$5:$AQ$14,33,FALSE)="No data","x",IF(VLOOKUP($B105,'Indicator Data (national)'!$B$5:$AQ$14,33,FALSE)&gt;K$150,10,IF(VLOOKUP($B105,'Indicator Data (national)'!$B$5:$AQ$14,33,FALSE)&lt;K$149,0,(K$150-VLOOKUP($B105,'Indicator Data (national)'!$B$5:$AQ$14,33,FALSE))/(K$150-K$149)*10)))</f>
        <v>9.6999999999999993</v>
      </c>
      <c r="L105" s="2">
        <f>IF(VLOOKUP($B105,'Indicator Data (national)'!$B$5:$AQ$14,34,FALSE)="No data","x",IF(VLOOKUP($B105,'Indicator Data (national)'!$B$5:$AQ$14,34,FALSE)&gt;L$150,10,IF(VLOOKUP($B105,'Indicator Data (national)'!$B$5:$AQ$14,34,FALSE)&lt;L$149,0,(L$150-VLOOKUP($B105,'Indicator Data (national)'!$B$5:$AQ$14,34,FALSE))/(L$150-L$149)*10)))</f>
        <v>5.0617321591378008</v>
      </c>
      <c r="M105" s="3">
        <f t="shared" si="25"/>
        <v>7.3808660795689001</v>
      </c>
      <c r="N105" s="2" t="str">
        <f>IF(VLOOKUP($B105,'Indicator Data (national)'!$B$5:$AS$14,44,FALSE)="No data","x",IF(VLOOKUP($B105,'Indicator Data (national)'!$B$5:$AS$14,44,FALSE)&gt;N$150,10,IF(VLOOKUP($B105,'Indicator Data (national)'!$B$5:$AS$14,44,FALSE)&lt;N$149,0,10-(N$150-VLOOKUP($B105,'Indicator Data (national)'!$B$5:$AS$14,44,FALSE))/(N$150-N$149)*10)))</f>
        <v>x</v>
      </c>
      <c r="O105" s="2">
        <f>IF(VLOOKUP($B105,'Indicator Data (national)'!$B$5:$AS$14,42,FALSE)="No data","x",IF(VLOOKUP($B105,'Indicator Data (national)'!$B$5:$AS$14,42,FALSE)&gt;O$150,0,IF(VLOOKUP($B105,'Indicator Data (national)'!$B$5:$AS$14,42,FALSE)&lt;O$149,10,(O$150-VLOOKUP($B105,'Indicator Data (national)'!$B$5:$AS$14,42,FALSE))/(O$150-O$149)*10)))</f>
        <v>9.8657718167785227</v>
      </c>
      <c r="P105" s="158">
        <f t="shared" si="26"/>
        <v>9.8657718167785227</v>
      </c>
      <c r="Q105" s="2">
        <f>IF(VLOOKUP($B105,'Indicator Data (national)'!$B$5:$Q$14,16,FALSE)="No data","x",IF(VLOOKUP($B105,'Indicator Data (national)'!$B$5:$Q$14,16,FALSE)&gt;Q$150,0,IF(VLOOKUP($B105,'Indicator Data (national)'!$B$5:$Q$14,16,FALSE)&lt;Q$149,10,(Q$150-VLOOKUP($B105,'Indicator Data (national)'!$B$5:$Q$14,16,FALSE))/(Q$150-Q$149)*10)))</f>
        <v>9.6</v>
      </c>
      <c r="R105" s="158">
        <f t="shared" si="27"/>
        <v>9.6</v>
      </c>
      <c r="S105" s="3">
        <f t="shared" si="33"/>
        <v>9.7328859083892603</v>
      </c>
      <c r="T105" s="2">
        <f>IF(VLOOKUP($B105,'Indicator Data (national)'!$B$5:$BC$14,43,FALSE)="No data","x",IF(VLOOKUP($B105,'Indicator Data (national)'!$B$5:$BC$14,43,FALSE)&gt;T$150,10,IF(VLOOKUP($B105,'Indicator Data (national)'!$B$5:$BC$14,43,FALSE)&lt;T$149,0,(T$150-VLOOKUP($B105,'Indicator Data (national)'!$B$5:$BC$14,43,FALSE))/(T$150-T$149)*10)))</f>
        <v>8.5136604607862196</v>
      </c>
      <c r="U105" s="3">
        <f t="shared" si="28"/>
        <v>8.5136604607862196</v>
      </c>
      <c r="V105" s="5">
        <f t="shared" si="34"/>
        <v>8.5424708162481267</v>
      </c>
      <c r="W105" s="2">
        <f>IF(VLOOKUP($B105,'Indicator Data (national)'!$B$5:$AS$14,37,FALSE)="No data","x",IF(VLOOKUP($B105,'Indicator Data (national)'!$B$5:$AS$14,37,FALSE)&gt;W$150,10,IF(VLOOKUP($B105,'Indicator Data (national)'!$B$5:$AS$14,37,FALSE)&lt;W$149,0,(LOG(W$150)-LOG(VLOOKUP($B105,'Indicator Data (national)'!$B$5:$AS$14,37,FALSE)))/(LOG(W$150)-LOG(W$149))*10)))</f>
        <v>9.6558878146011455</v>
      </c>
      <c r="X105" s="2">
        <f>IF(VLOOKUP($B105,'Indicator Data (national)'!$B$5:$BB$14,45,FALSE)="No data","x",IF(VLOOKUP($B105,'Indicator Data (national)'!$B$5:$BB$14,45,FALSE)&gt;X$150,10,IF(VLOOKUP($B105,'Indicator Data (national)'!$B$5:$BB$14,45,FALSE)&lt;X$149,0,10-(X$150-VLOOKUP($B105,'Indicator Data (national)'!$B$5:$BB$14,45,FALSE))/(X$150-X$149)*10)))</f>
        <v>8.6666666666666661</v>
      </c>
      <c r="Y105" s="2">
        <f>IF(VLOOKUP($B105,'Indicator Data (national)'!$B$5:$BB$14,46,FALSE)="No data","x",IF(VLOOKUP($B105,'Indicator Data (national)'!$B$5:$BB$14,46,FALSE)&gt;Y$150,10,IF(VLOOKUP($B105,'Indicator Data (national)'!$B$5:$BB$14,46,FALSE)&lt;Y$149,0,(Y$150-VLOOKUP($B105,'Indicator Data (national)'!$B$5:$BB$14,46,FALSE))/(Y$150-Y$149)*10)))</f>
        <v>7</v>
      </c>
      <c r="Z105" s="156">
        <f>IF(VLOOKUP($B105,'Indicator Data (national)'!$B$5:$BB$14,48,FALSE)="No data","x",VLOOKUP($B105,'Indicator Data (national)'!$B$5:$BB$14,47,FALSE)*VLOOKUP($B105,'Indicator Data (national)'!$B$5:$BB$14,48,FALSE))</f>
        <v>7.8825963475823286</v>
      </c>
      <c r="AA105" s="2">
        <f t="shared" si="29"/>
        <v>9.2117403652417664</v>
      </c>
      <c r="AB105" s="3">
        <f t="shared" si="30"/>
        <v>8.6335737116273936</v>
      </c>
      <c r="AC105" s="2" t="str">
        <f>IF(VLOOKUP($B105,'Indicator Data (national)'!$B$5:$BB$14,49,FALSE)="No data","x",IF(VLOOKUP($B105,'Indicator Data (national)'!$B$5:$BB$14,49,FALSE)&gt;AC$150,0,IF(VLOOKUP($B105,'Indicator Data (national)'!$B$5:$BB$14,49,FALSE)&lt;AC$149,10,(AC$150-VLOOKUP($B105,'Indicator Data (national)'!$B$5:$BB$14,49,FALSE))/(AC$150-AC$149)*10)))</f>
        <v>x</v>
      </c>
      <c r="AD105" s="2" t="str">
        <f>IF(VLOOKUP($B105,'Indicator Data (national)'!$B$5:$BB$14,50,FALSE)="No data","x",IF(VLOOKUP($B105,'Indicator Data (national)'!$B$5:$BB$14,50,FALSE)&gt;AD$150,0,IF(VLOOKUP($B105,'Indicator Data (national)'!$B$5:$BB$14,50,FALSE)&lt;AD$149,10,(AD$150-VLOOKUP($B105,'Indicator Data (national)'!$B$5:$BB$14,50,FALSE))/(AD$150-AD$149)*10)))</f>
        <v>x</v>
      </c>
      <c r="AE105" s="3" t="str">
        <f t="shared" si="31"/>
        <v>x</v>
      </c>
      <c r="AF105" s="2">
        <f>IF(VLOOKUP($B105,'Indicator Data (national)'!$B$5:$BB$14,51,FALSE)="No data","x",IF(VLOOKUP($B105,'Indicator Data (national)'!$B$5:$BB$14,51,FALSE)&gt;AF$150,0,IF(VLOOKUP($B105,'Indicator Data (national)'!$B$5:$BB$14,51,FALSE)&lt;AF$149,10,(AF$150-VLOOKUP($B105,'Indicator Data (national)'!$B$5:$BB$14,51,FALSE))/(AF$150-AF$149)*10)))</f>
        <v>10</v>
      </c>
      <c r="AG105" s="2">
        <f>IF(VLOOKUP($B105,'Indicator Data (national)'!$B$5:$BB$14,52,FALSE)="No data","x",IF(VLOOKUP($B105,'Indicator Data (national)'!$B$5:$BB$14,52,FALSE)&gt;AG$150,0,IF(VLOOKUP($B105,'Indicator Data (national)'!$B$5:$BB$14,52,FALSE)&lt;AG$149,10,(AG$150-VLOOKUP($B105,'Indicator Data (national)'!$B$5:$BB$14,52,FALSE))/(AG$150-AG$149)*10)))</f>
        <v>3.5586119999999992</v>
      </c>
      <c r="AH105" s="2">
        <f>IF(VLOOKUP($B105,'Indicator Data (national)'!$B$5:$BB$14,53,FALSE)="No data","x",IF(VLOOKUP($B105,'Indicator Data (national)'!$B$5:$BB$14,53,FALSE)&gt;AH$150,0,IF(VLOOKUP($B105,'Indicator Data (national)'!$B$5:$BB$14,53,FALSE)&lt;AH$149,10,(AH$150-VLOOKUP($B105,'Indicator Data (national)'!$B$5:$BB$14,53,FALSE))/(AH$150-AH$149)*10)))</f>
        <v>0</v>
      </c>
      <c r="AI105" s="3">
        <f t="shared" si="32"/>
        <v>4.5195373333333331</v>
      </c>
      <c r="AJ105" s="5">
        <f t="shared" si="35"/>
        <v>6.5765555224803638</v>
      </c>
    </row>
    <row r="106" spans="1:36" s="11" customFormat="1" x14ac:dyDescent="0.25">
      <c r="A106" s="16" t="s">
        <v>492</v>
      </c>
      <c r="B106" s="11" t="s">
        <v>578</v>
      </c>
      <c r="C106" s="16" t="s">
        <v>493</v>
      </c>
      <c r="D106" s="120">
        <f>(VLOOKUP($B106,'Indicator Data (national)'!$B$5:$AP$14,39,FALSE)+VLOOKUP($B106,'Indicator Data (national)'!$B$5:$AP$14,40,FALSE)+VLOOKUP($B106,'Indicator Data (national)'!$B$5:$AP$14,41,FALSE))/VLOOKUP($B106,'Indicator Data (national)'!$B$5:$AP$14,38,FALSE)*1000000</f>
        <v>0.84607019924476812</v>
      </c>
      <c r="E106" s="2">
        <f t="shared" si="21"/>
        <v>5.7696490037761592</v>
      </c>
      <c r="F106" s="3">
        <f t="shared" si="22"/>
        <v>5.7696490037761592</v>
      </c>
      <c r="G106" s="2">
        <f>IF(VLOOKUP($B106,'Indicator Data (national)'!$B$5:$AQ$14,30,FALSE)="No data","x",IF(VLOOKUP($B106,'Indicator Data (national)'!$B$5:$AQ$14,30,FALSE)&gt;G$150,10,IF(VLOOKUP($B106,'Indicator Data (national)'!$B$5:$AQ$14,30,FALSE)&lt;G$149,0,(G$150-VLOOKUP($B106,'Indicator Data (national)'!$B$5:$AQ$14,30,FALSE))/(G$150-G$149)*10)))</f>
        <v>9.2000000000000011</v>
      </c>
      <c r="H106" s="2">
        <f>IF(VLOOKUP($B106,'Indicator Data (national)'!$B$5:$AQ$14,29,FALSE)="No data","x",IF(VLOOKUP($B106,'Indicator Data (national)'!$B$5:$AQ$14,29,FALSE)&gt;H$150,10,IF(VLOOKUP($B106,'Indicator Data (national)'!$B$5:$AQ$14,29,FALSE)&lt;H$149,0,(H$150-VLOOKUP($B106,'Indicator Data (national)'!$B$5:$AQ$14,29,FALSE))/(H$150-H$149)*10)))</f>
        <v>9.4153704643249512</v>
      </c>
      <c r="I106" s="3">
        <f t="shared" si="23"/>
        <v>9.307685232162477</v>
      </c>
      <c r="J106" s="5">
        <f t="shared" si="24"/>
        <v>7.5386671179693181</v>
      </c>
      <c r="K106" s="2">
        <f>IF(VLOOKUP($B106,'Indicator Data (national)'!$B$5:$AQ$14,33,FALSE)="No data","x",IF(VLOOKUP($B106,'Indicator Data (national)'!$B$5:$AQ$14,33,FALSE)&gt;K$150,10,IF(VLOOKUP($B106,'Indicator Data (national)'!$B$5:$AQ$14,33,FALSE)&lt;K$149,0,(K$150-VLOOKUP($B106,'Indicator Data (national)'!$B$5:$AQ$14,33,FALSE))/(K$150-K$149)*10)))</f>
        <v>9.6999999999999993</v>
      </c>
      <c r="L106" s="2">
        <f>IF(VLOOKUP($B106,'Indicator Data (national)'!$B$5:$AQ$14,34,FALSE)="No data","x",IF(VLOOKUP($B106,'Indicator Data (national)'!$B$5:$AQ$14,34,FALSE)&gt;L$150,10,IF(VLOOKUP($B106,'Indicator Data (national)'!$B$5:$AQ$14,34,FALSE)&lt;L$149,0,(L$150-VLOOKUP($B106,'Indicator Data (national)'!$B$5:$AQ$14,34,FALSE))/(L$150-L$149)*10)))</f>
        <v>5.0617321591378008</v>
      </c>
      <c r="M106" s="3">
        <f t="shared" si="25"/>
        <v>7.3808660795689001</v>
      </c>
      <c r="N106" s="2" t="str">
        <f>IF(VLOOKUP($B106,'Indicator Data (national)'!$B$5:$AS$14,44,FALSE)="No data","x",IF(VLOOKUP($B106,'Indicator Data (national)'!$B$5:$AS$14,44,FALSE)&gt;N$150,10,IF(VLOOKUP($B106,'Indicator Data (national)'!$B$5:$AS$14,44,FALSE)&lt;N$149,0,10-(N$150-VLOOKUP($B106,'Indicator Data (national)'!$B$5:$AS$14,44,FALSE))/(N$150-N$149)*10)))</f>
        <v>x</v>
      </c>
      <c r="O106" s="2">
        <f>IF(VLOOKUP($B106,'Indicator Data (national)'!$B$5:$AS$14,42,FALSE)="No data","x",IF(VLOOKUP($B106,'Indicator Data (national)'!$B$5:$AS$14,42,FALSE)&gt;O$150,0,IF(VLOOKUP($B106,'Indicator Data (national)'!$B$5:$AS$14,42,FALSE)&lt;O$149,10,(O$150-VLOOKUP($B106,'Indicator Data (national)'!$B$5:$AS$14,42,FALSE))/(O$150-O$149)*10)))</f>
        <v>9.8657718167785227</v>
      </c>
      <c r="P106" s="158">
        <f t="shared" si="26"/>
        <v>9.8657718167785227</v>
      </c>
      <c r="Q106" s="2">
        <f>IF(VLOOKUP($B106,'Indicator Data (national)'!$B$5:$Q$14,16,FALSE)="No data","x",IF(VLOOKUP($B106,'Indicator Data (national)'!$B$5:$Q$14,16,FALSE)&gt;Q$150,0,IF(VLOOKUP($B106,'Indicator Data (national)'!$B$5:$Q$14,16,FALSE)&lt;Q$149,10,(Q$150-VLOOKUP($B106,'Indicator Data (national)'!$B$5:$Q$14,16,FALSE))/(Q$150-Q$149)*10)))</f>
        <v>9.6</v>
      </c>
      <c r="R106" s="158">
        <f t="shared" si="27"/>
        <v>9.6</v>
      </c>
      <c r="S106" s="3">
        <f t="shared" si="33"/>
        <v>9.7328859083892603</v>
      </c>
      <c r="T106" s="2">
        <f>IF(VLOOKUP($B106,'Indicator Data (national)'!$B$5:$BC$14,43,FALSE)="No data","x",IF(VLOOKUP($B106,'Indicator Data (national)'!$B$5:$BC$14,43,FALSE)&gt;T$150,10,IF(VLOOKUP($B106,'Indicator Data (national)'!$B$5:$BC$14,43,FALSE)&lt;T$149,0,(T$150-VLOOKUP($B106,'Indicator Data (national)'!$B$5:$BC$14,43,FALSE))/(T$150-T$149)*10)))</f>
        <v>8.5136604607862196</v>
      </c>
      <c r="U106" s="3">
        <f t="shared" si="28"/>
        <v>8.5136604607862196</v>
      </c>
      <c r="V106" s="5">
        <f t="shared" si="34"/>
        <v>8.5424708162481267</v>
      </c>
      <c r="W106" s="2">
        <f>IF(VLOOKUP($B106,'Indicator Data (national)'!$B$5:$AS$14,37,FALSE)="No data","x",IF(VLOOKUP($B106,'Indicator Data (national)'!$B$5:$AS$14,37,FALSE)&gt;W$150,10,IF(VLOOKUP($B106,'Indicator Data (national)'!$B$5:$AS$14,37,FALSE)&lt;W$149,0,(LOG(W$150)-LOG(VLOOKUP($B106,'Indicator Data (national)'!$B$5:$AS$14,37,FALSE)))/(LOG(W$150)-LOG(W$149))*10)))</f>
        <v>9.6558878146011455</v>
      </c>
      <c r="X106" s="2">
        <f>IF(VLOOKUP($B106,'Indicator Data (national)'!$B$5:$BB$14,45,FALSE)="No data","x",IF(VLOOKUP($B106,'Indicator Data (national)'!$B$5:$BB$14,45,FALSE)&gt;X$150,10,IF(VLOOKUP($B106,'Indicator Data (national)'!$B$5:$BB$14,45,FALSE)&lt;X$149,0,10-(X$150-VLOOKUP($B106,'Indicator Data (national)'!$B$5:$BB$14,45,FALSE))/(X$150-X$149)*10)))</f>
        <v>8.6666666666666661</v>
      </c>
      <c r="Y106" s="2">
        <f>IF(VLOOKUP($B106,'Indicator Data (national)'!$B$5:$BB$14,46,FALSE)="No data","x",IF(VLOOKUP($B106,'Indicator Data (national)'!$B$5:$BB$14,46,FALSE)&gt;Y$150,10,IF(VLOOKUP($B106,'Indicator Data (national)'!$B$5:$BB$14,46,FALSE)&lt;Y$149,0,(Y$150-VLOOKUP($B106,'Indicator Data (national)'!$B$5:$BB$14,46,FALSE))/(Y$150-Y$149)*10)))</f>
        <v>7</v>
      </c>
      <c r="Z106" s="156">
        <f>IF(VLOOKUP($B106,'Indicator Data (national)'!$B$5:$BB$14,48,FALSE)="No data","x",VLOOKUP($B106,'Indicator Data (national)'!$B$5:$BB$14,47,FALSE)*VLOOKUP($B106,'Indicator Data (national)'!$B$5:$BB$14,48,FALSE))</f>
        <v>7.8825963475823286</v>
      </c>
      <c r="AA106" s="2">
        <f t="shared" si="29"/>
        <v>9.2117403652417664</v>
      </c>
      <c r="AB106" s="3">
        <f t="shared" si="30"/>
        <v>8.6335737116273936</v>
      </c>
      <c r="AC106" s="2" t="str">
        <f>IF(VLOOKUP($B106,'Indicator Data (national)'!$B$5:$BB$14,49,FALSE)="No data","x",IF(VLOOKUP($B106,'Indicator Data (national)'!$B$5:$BB$14,49,FALSE)&gt;AC$150,0,IF(VLOOKUP($B106,'Indicator Data (national)'!$B$5:$BB$14,49,FALSE)&lt;AC$149,10,(AC$150-VLOOKUP($B106,'Indicator Data (national)'!$B$5:$BB$14,49,FALSE))/(AC$150-AC$149)*10)))</f>
        <v>x</v>
      </c>
      <c r="AD106" s="2" t="str">
        <f>IF(VLOOKUP($B106,'Indicator Data (national)'!$B$5:$BB$14,50,FALSE)="No data","x",IF(VLOOKUP($B106,'Indicator Data (national)'!$B$5:$BB$14,50,FALSE)&gt;AD$150,0,IF(VLOOKUP($B106,'Indicator Data (national)'!$B$5:$BB$14,50,FALSE)&lt;AD$149,10,(AD$150-VLOOKUP($B106,'Indicator Data (national)'!$B$5:$BB$14,50,FALSE))/(AD$150-AD$149)*10)))</f>
        <v>x</v>
      </c>
      <c r="AE106" s="3" t="str">
        <f t="shared" si="31"/>
        <v>x</v>
      </c>
      <c r="AF106" s="2">
        <f>IF(VLOOKUP($B106,'Indicator Data (national)'!$B$5:$BB$14,51,FALSE)="No data","x",IF(VLOOKUP($B106,'Indicator Data (national)'!$B$5:$BB$14,51,FALSE)&gt;AF$150,0,IF(VLOOKUP($B106,'Indicator Data (national)'!$B$5:$BB$14,51,FALSE)&lt;AF$149,10,(AF$150-VLOOKUP($B106,'Indicator Data (national)'!$B$5:$BB$14,51,FALSE))/(AF$150-AF$149)*10)))</f>
        <v>10</v>
      </c>
      <c r="AG106" s="2">
        <f>IF(VLOOKUP($B106,'Indicator Data (national)'!$B$5:$BB$14,52,FALSE)="No data","x",IF(VLOOKUP($B106,'Indicator Data (national)'!$B$5:$BB$14,52,FALSE)&gt;AG$150,0,IF(VLOOKUP($B106,'Indicator Data (national)'!$B$5:$BB$14,52,FALSE)&lt;AG$149,10,(AG$150-VLOOKUP($B106,'Indicator Data (national)'!$B$5:$BB$14,52,FALSE))/(AG$150-AG$149)*10)))</f>
        <v>3.5586119999999992</v>
      </c>
      <c r="AH106" s="2">
        <f>IF(VLOOKUP($B106,'Indicator Data (national)'!$B$5:$BB$14,53,FALSE)="No data","x",IF(VLOOKUP($B106,'Indicator Data (national)'!$B$5:$BB$14,53,FALSE)&gt;AH$150,0,IF(VLOOKUP($B106,'Indicator Data (national)'!$B$5:$BB$14,53,FALSE)&lt;AH$149,10,(AH$150-VLOOKUP($B106,'Indicator Data (national)'!$B$5:$BB$14,53,FALSE))/(AH$150-AH$149)*10)))</f>
        <v>0</v>
      </c>
      <c r="AI106" s="3">
        <f t="shared" si="32"/>
        <v>4.5195373333333331</v>
      </c>
      <c r="AJ106" s="5">
        <f t="shared" si="35"/>
        <v>6.5765555224803638</v>
      </c>
    </row>
    <row r="107" spans="1:36" s="11" customFormat="1" x14ac:dyDescent="0.25">
      <c r="A107" s="16" t="s">
        <v>494</v>
      </c>
      <c r="B107" s="11" t="s">
        <v>578</v>
      </c>
      <c r="C107" s="16" t="s">
        <v>495</v>
      </c>
      <c r="D107" s="120">
        <f>(VLOOKUP($B107,'Indicator Data (national)'!$B$5:$AP$14,39,FALSE)+VLOOKUP($B107,'Indicator Data (national)'!$B$5:$AP$14,40,FALSE)+VLOOKUP($B107,'Indicator Data (national)'!$B$5:$AP$14,41,FALSE))/VLOOKUP($B107,'Indicator Data (national)'!$B$5:$AP$14,38,FALSE)*1000000</f>
        <v>0.84607019924476812</v>
      </c>
      <c r="E107" s="2">
        <f t="shared" si="21"/>
        <v>5.7696490037761592</v>
      </c>
      <c r="F107" s="3">
        <f t="shared" si="22"/>
        <v>5.7696490037761592</v>
      </c>
      <c r="G107" s="2">
        <f>IF(VLOOKUP($B107,'Indicator Data (national)'!$B$5:$AQ$14,30,FALSE)="No data","x",IF(VLOOKUP($B107,'Indicator Data (national)'!$B$5:$AQ$14,30,FALSE)&gt;G$150,10,IF(VLOOKUP($B107,'Indicator Data (national)'!$B$5:$AQ$14,30,FALSE)&lt;G$149,0,(G$150-VLOOKUP($B107,'Indicator Data (national)'!$B$5:$AQ$14,30,FALSE))/(G$150-G$149)*10)))</f>
        <v>9.2000000000000011</v>
      </c>
      <c r="H107" s="2">
        <f>IF(VLOOKUP($B107,'Indicator Data (national)'!$B$5:$AQ$14,29,FALSE)="No data","x",IF(VLOOKUP($B107,'Indicator Data (national)'!$B$5:$AQ$14,29,FALSE)&gt;H$150,10,IF(VLOOKUP($B107,'Indicator Data (national)'!$B$5:$AQ$14,29,FALSE)&lt;H$149,0,(H$150-VLOOKUP($B107,'Indicator Data (national)'!$B$5:$AQ$14,29,FALSE))/(H$150-H$149)*10)))</f>
        <v>9.4153704643249512</v>
      </c>
      <c r="I107" s="3">
        <f t="shared" si="23"/>
        <v>9.307685232162477</v>
      </c>
      <c r="J107" s="5">
        <f t="shared" si="24"/>
        <v>7.5386671179693181</v>
      </c>
      <c r="K107" s="2">
        <f>IF(VLOOKUP($B107,'Indicator Data (national)'!$B$5:$AQ$14,33,FALSE)="No data","x",IF(VLOOKUP($B107,'Indicator Data (national)'!$B$5:$AQ$14,33,FALSE)&gt;K$150,10,IF(VLOOKUP($B107,'Indicator Data (national)'!$B$5:$AQ$14,33,FALSE)&lt;K$149,0,(K$150-VLOOKUP($B107,'Indicator Data (national)'!$B$5:$AQ$14,33,FALSE))/(K$150-K$149)*10)))</f>
        <v>9.6999999999999993</v>
      </c>
      <c r="L107" s="2">
        <f>IF(VLOOKUP($B107,'Indicator Data (national)'!$B$5:$AQ$14,34,FALSE)="No data","x",IF(VLOOKUP($B107,'Indicator Data (national)'!$B$5:$AQ$14,34,FALSE)&gt;L$150,10,IF(VLOOKUP($B107,'Indicator Data (national)'!$B$5:$AQ$14,34,FALSE)&lt;L$149,0,(L$150-VLOOKUP($B107,'Indicator Data (national)'!$B$5:$AQ$14,34,FALSE))/(L$150-L$149)*10)))</f>
        <v>5.0617321591378008</v>
      </c>
      <c r="M107" s="3">
        <f t="shared" si="25"/>
        <v>7.3808660795689001</v>
      </c>
      <c r="N107" s="2" t="str">
        <f>IF(VLOOKUP($B107,'Indicator Data (national)'!$B$5:$AS$14,44,FALSE)="No data","x",IF(VLOOKUP($B107,'Indicator Data (national)'!$B$5:$AS$14,44,FALSE)&gt;N$150,10,IF(VLOOKUP($B107,'Indicator Data (national)'!$B$5:$AS$14,44,FALSE)&lt;N$149,0,10-(N$150-VLOOKUP($B107,'Indicator Data (national)'!$B$5:$AS$14,44,FALSE))/(N$150-N$149)*10)))</f>
        <v>x</v>
      </c>
      <c r="O107" s="2">
        <f>IF(VLOOKUP($B107,'Indicator Data (national)'!$B$5:$AS$14,42,FALSE)="No data","x",IF(VLOOKUP($B107,'Indicator Data (national)'!$B$5:$AS$14,42,FALSE)&gt;O$150,0,IF(VLOOKUP($B107,'Indicator Data (national)'!$B$5:$AS$14,42,FALSE)&lt;O$149,10,(O$150-VLOOKUP($B107,'Indicator Data (national)'!$B$5:$AS$14,42,FALSE))/(O$150-O$149)*10)))</f>
        <v>9.8657718167785227</v>
      </c>
      <c r="P107" s="158">
        <f t="shared" si="26"/>
        <v>9.8657718167785227</v>
      </c>
      <c r="Q107" s="2">
        <f>IF(VLOOKUP($B107,'Indicator Data (national)'!$B$5:$Q$14,16,FALSE)="No data","x",IF(VLOOKUP($B107,'Indicator Data (national)'!$B$5:$Q$14,16,FALSE)&gt;Q$150,0,IF(VLOOKUP($B107,'Indicator Data (national)'!$B$5:$Q$14,16,FALSE)&lt;Q$149,10,(Q$150-VLOOKUP($B107,'Indicator Data (national)'!$B$5:$Q$14,16,FALSE))/(Q$150-Q$149)*10)))</f>
        <v>9.6</v>
      </c>
      <c r="R107" s="158">
        <f t="shared" si="27"/>
        <v>9.6</v>
      </c>
      <c r="S107" s="3">
        <f t="shared" si="33"/>
        <v>9.7328859083892603</v>
      </c>
      <c r="T107" s="2">
        <f>IF(VLOOKUP($B107,'Indicator Data (national)'!$B$5:$BC$14,43,FALSE)="No data","x",IF(VLOOKUP($B107,'Indicator Data (national)'!$B$5:$BC$14,43,FALSE)&gt;T$150,10,IF(VLOOKUP($B107,'Indicator Data (national)'!$B$5:$BC$14,43,FALSE)&lt;T$149,0,(T$150-VLOOKUP($B107,'Indicator Data (national)'!$B$5:$BC$14,43,FALSE))/(T$150-T$149)*10)))</f>
        <v>8.5136604607862196</v>
      </c>
      <c r="U107" s="3">
        <f t="shared" si="28"/>
        <v>8.5136604607862196</v>
      </c>
      <c r="V107" s="5">
        <f t="shared" si="34"/>
        <v>8.5424708162481267</v>
      </c>
      <c r="W107" s="2">
        <f>IF(VLOOKUP($B107,'Indicator Data (national)'!$B$5:$AS$14,37,FALSE)="No data","x",IF(VLOOKUP($B107,'Indicator Data (national)'!$B$5:$AS$14,37,FALSE)&gt;W$150,10,IF(VLOOKUP($B107,'Indicator Data (national)'!$B$5:$AS$14,37,FALSE)&lt;W$149,0,(LOG(W$150)-LOG(VLOOKUP($B107,'Indicator Data (national)'!$B$5:$AS$14,37,FALSE)))/(LOG(W$150)-LOG(W$149))*10)))</f>
        <v>9.6558878146011455</v>
      </c>
      <c r="X107" s="2">
        <f>IF(VLOOKUP($B107,'Indicator Data (national)'!$B$5:$BB$14,45,FALSE)="No data","x",IF(VLOOKUP($B107,'Indicator Data (national)'!$B$5:$BB$14,45,FALSE)&gt;X$150,10,IF(VLOOKUP($B107,'Indicator Data (national)'!$B$5:$BB$14,45,FALSE)&lt;X$149,0,10-(X$150-VLOOKUP($B107,'Indicator Data (national)'!$B$5:$BB$14,45,FALSE))/(X$150-X$149)*10)))</f>
        <v>8.6666666666666661</v>
      </c>
      <c r="Y107" s="2">
        <f>IF(VLOOKUP($B107,'Indicator Data (national)'!$B$5:$BB$14,46,FALSE)="No data","x",IF(VLOOKUP($B107,'Indicator Data (national)'!$B$5:$BB$14,46,FALSE)&gt;Y$150,10,IF(VLOOKUP($B107,'Indicator Data (national)'!$B$5:$BB$14,46,FALSE)&lt;Y$149,0,(Y$150-VLOOKUP($B107,'Indicator Data (national)'!$B$5:$BB$14,46,FALSE))/(Y$150-Y$149)*10)))</f>
        <v>7</v>
      </c>
      <c r="Z107" s="156">
        <f>IF(VLOOKUP($B107,'Indicator Data (national)'!$B$5:$BB$14,48,FALSE)="No data","x",VLOOKUP($B107,'Indicator Data (national)'!$B$5:$BB$14,47,FALSE)*VLOOKUP($B107,'Indicator Data (national)'!$B$5:$BB$14,48,FALSE))</f>
        <v>7.8825963475823286</v>
      </c>
      <c r="AA107" s="2">
        <f t="shared" si="29"/>
        <v>9.2117403652417664</v>
      </c>
      <c r="AB107" s="3">
        <f t="shared" si="30"/>
        <v>8.6335737116273936</v>
      </c>
      <c r="AC107" s="2" t="str">
        <f>IF(VLOOKUP($B107,'Indicator Data (national)'!$B$5:$BB$14,49,FALSE)="No data","x",IF(VLOOKUP($B107,'Indicator Data (national)'!$B$5:$BB$14,49,FALSE)&gt;AC$150,0,IF(VLOOKUP($B107,'Indicator Data (national)'!$B$5:$BB$14,49,FALSE)&lt;AC$149,10,(AC$150-VLOOKUP($B107,'Indicator Data (national)'!$B$5:$BB$14,49,FALSE))/(AC$150-AC$149)*10)))</f>
        <v>x</v>
      </c>
      <c r="AD107" s="2" t="str">
        <f>IF(VLOOKUP($B107,'Indicator Data (national)'!$B$5:$BB$14,50,FALSE)="No data","x",IF(VLOOKUP($B107,'Indicator Data (national)'!$B$5:$BB$14,50,FALSE)&gt;AD$150,0,IF(VLOOKUP($B107,'Indicator Data (national)'!$B$5:$BB$14,50,FALSE)&lt;AD$149,10,(AD$150-VLOOKUP($B107,'Indicator Data (national)'!$B$5:$BB$14,50,FALSE))/(AD$150-AD$149)*10)))</f>
        <v>x</v>
      </c>
      <c r="AE107" s="3" t="str">
        <f t="shared" si="31"/>
        <v>x</v>
      </c>
      <c r="AF107" s="2">
        <f>IF(VLOOKUP($B107,'Indicator Data (national)'!$B$5:$BB$14,51,FALSE)="No data","x",IF(VLOOKUP($B107,'Indicator Data (national)'!$B$5:$BB$14,51,FALSE)&gt;AF$150,0,IF(VLOOKUP($B107,'Indicator Data (national)'!$B$5:$BB$14,51,FALSE)&lt;AF$149,10,(AF$150-VLOOKUP($B107,'Indicator Data (national)'!$B$5:$BB$14,51,FALSE))/(AF$150-AF$149)*10)))</f>
        <v>10</v>
      </c>
      <c r="AG107" s="2">
        <f>IF(VLOOKUP($B107,'Indicator Data (national)'!$B$5:$BB$14,52,FALSE)="No data","x",IF(VLOOKUP($B107,'Indicator Data (national)'!$B$5:$BB$14,52,FALSE)&gt;AG$150,0,IF(VLOOKUP($B107,'Indicator Data (national)'!$B$5:$BB$14,52,FALSE)&lt;AG$149,10,(AG$150-VLOOKUP($B107,'Indicator Data (national)'!$B$5:$BB$14,52,FALSE))/(AG$150-AG$149)*10)))</f>
        <v>3.5586119999999992</v>
      </c>
      <c r="AH107" s="2">
        <f>IF(VLOOKUP($B107,'Indicator Data (national)'!$B$5:$BB$14,53,FALSE)="No data","x",IF(VLOOKUP($B107,'Indicator Data (national)'!$B$5:$BB$14,53,FALSE)&gt;AH$150,0,IF(VLOOKUP($B107,'Indicator Data (national)'!$B$5:$BB$14,53,FALSE)&lt;AH$149,10,(AH$150-VLOOKUP($B107,'Indicator Data (national)'!$B$5:$BB$14,53,FALSE))/(AH$150-AH$149)*10)))</f>
        <v>0</v>
      </c>
      <c r="AI107" s="3">
        <f t="shared" si="32"/>
        <v>4.5195373333333331</v>
      </c>
      <c r="AJ107" s="5">
        <f t="shared" si="35"/>
        <v>6.5765555224803638</v>
      </c>
    </row>
    <row r="108" spans="1:36" s="11" customFormat="1" x14ac:dyDescent="0.25">
      <c r="A108" s="16" t="s">
        <v>496</v>
      </c>
      <c r="B108" s="11" t="s">
        <v>578</v>
      </c>
      <c r="C108" s="16" t="s">
        <v>497</v>
      </c>
      <c r="D108" s="120">
        <f>(VLOOKUP($B108,'Indicator Data (national)'!$B$5:$AP$14,39,FALSE)+VLOOKUP($B108,'Indicator Data (national)'!$B$5:$AP$14,40,FALSE)+VLOOKUP($B108,'Indicator Data (national)'!$B$5:$AP$14,41,FALSE))/VLOOKUP($B108,'Indicator Data (national)'!$B$5:$AP$14,38,FALSE)*1000000</f>
        <v>0.84607019924476812</v>
      </c>
      <c r="E108" s="2">
        <f t="shared" si="21"/>
        <v>5.7696490037761592</v>
      </c>
      <c r="F108" s="3">
        <f t="shared" si="22"/>
        <v>5.7696490037761592</v>
      </c>
      <c r="G108" s="2">
        <f>IF(VLOOKUP($B108,'Indicator Data (national)'!$B$5:$AQ$14,30,FALSE)="No data","x",IF(VLOOKUP($B108,'Indicator Data (national)'!$B$5:$AQ$14,30,FALSE)&gt;G$150,10,IF(VLOOKUP($B108,'Indicator Data (national)'!$B$5:$AQ$14,30,FALSE)&lt;G$149,0,(G$150-VLOOKUP($B108,'Indicator Data (national)'!$B$5:$AQ$14,30,FALSE))/(G$150-G$149)*10)))</f>
        <v>9.2000000000000011</v>
      </c>
      <c r="H108" s="2">
        <f>IF(VLOOKUP($B108,'Indicator Data (national)'!$B$5:$AQ$14,29,FALSE)="No data","x",IF(VLOOKUP($B108,'Indicator Data (national)'!$B$5:$AQ$14,29,FALSE)&gt;H$150,10,IF(VLOOKUP($B108,'Indicator Data (national)'!$B$5:$AQ$14,29,FALSE)&lt;H$149,0,(H$150-VLOOKUP($B108,'Indicator Data (national)'!$B$5:$AQ$14,29,FALSE))/(H$150-H$149)*10)))</f>
        <v>9.4153704643249512</v>
      </c>
      <c r="I108" s="3">
        <f t="shared" si="23"/>
        <v>9.307685232162477</v>
      </c>
      <c r="J108" s="5">
        <f t="shared" si="24"/>
        <v>7.5386671179693181</v>
      </c>
      <c r="K108" s="2">
        <f>IF(VLOOKUP($B108,'Indicator Data (national)'!$B$5:$AQ$14,33,FALSE)="No data","x",IF(VLOOKUP($B108,'Indicator Data (national)'!$B$5:$AQ$14,33,FALSE)&gt;K$150,10,IF(VLOOKUP($B108,'Indicator Data (national)'!$B$5:$AQ$14,33,FALSE)&lt;K$149,0,(K$150-VLOOKUP($B108,'Indicator Data (national)'!$B$5:$AQ$14,33,FALSE))/(K$150-K$149)*10)))</f>
        <v>9.6999999999999993</v>
      </c>
      <c r="L108" s="2">
        <f>IF(VLOOKUP($B108,'Indicator Data (national)'!$B$5:$AQ$14,34,FALSE)="No data","x",IF(VLOOKUP($B108,'Indicator Data (national)'!$B$5:$AQ$14,34,FALSE)&gt;L$150,10,IF(VLOOKUP($B108,'Indicator Data (national)'!$B$5:$AQ$14,34,FALSE)&lt;L$149,0,(L$150-VLOOKUP($B108,'Indicator Data (national)'!$B$5:$AQ$14,34,FALSE))/(L$150-L$149)*10)))</f>
        <v>5.0617321591378008</v>
      </c>
      <c r="M108" s="3">
        <f t="shared" si="25"/>
        <v>7.3808660795689001</v>
      </c>
      <c r="N108" s="2" t="str">
        <f>IF(VLOOKUP($B108,'Indicator Data (national)'!$B$5:$AS$14,44,FALSE)="No data","x",IF(VLOOKUP($B108,'Indicator Data (national)'!$B$5:$AS$14,44,FALSE)&gt;N$150,10,IF(VLOOKUP($B108,'Indicator Data (national)'!$B$5:$AS$14,44,FALSE)&lt;N$149,0,10-(N$150-VLOOKUP($B108,'Indicator Data (national)'!$B$5:$AS$14,44,FALSE))/(N$150-N$149)*10)))</f>
        <v>x</v>
      </c>
      <c r="O108" s="2">
        <f>IF(VLOOKUP($B108,'Indicator Data (national)'!$B$5:$AS$14,42,FALSE)="No data","x",IF(VLOOKUP($B108,'Indicator Data (national)'!$B$5:$AS$14,42,FALSE)&gt;O$150,0,IF(VLOOKUP($B108,'Indicator Data (national)'!$B$5:$AS$14,42,FALSE)&lt;O$149,10,(O$150-VLOOKUP($B108,'Indicator Data (national)'!$B$5:$AS$14,42,FALSE))/(O$150-O$149)*10)))</f>
        <v>9.8657718167785227</v>
      </c>
      <c r="P108" s="158">
        <f t="shared" si="26"/>
        <v>9.8657718167785227</v>
      </c>
      <c r="Q108" s="2">
        <f>IF(VLOOKUP($B108,'Indicator Data (national)'!$B$5:$Q$14,16,FALSE)="No data","x",IF(VLOOKUP($B108,'Indicator Data (national)'!$B$5:$Q$14,16,FALSE)&gt;Q$150,0,IF(VLOOKUP($B108,'Indicator Data (national)'!$B$5:$Q$14,16,FALSE)&lt;Q$149,10,(Q$150-VLOOKUP($B108,'Indicator Data (national)'!$B$5:$Q$14,16,FALSE))/(Q$150-Q$149)*10)))</f>
        <v>9.6</v>
      </c>
      <c r="R108" s="158">
        <f t="shared" si="27"/>
        <v>9.6</v>
      </c>
      <c r="S108" s="3">
        <f t="shared" si="33"/>
        <v>9.7328859083892603</v>
      </c>
      <c r="T108" s="2">
        <f>IF(VLOOKUP($B108,'Indicator Data (national)'!$B$5:$BC$14,43,FALSE)="No data","x",IF(VLOOKUP($B108,'Indicator Data (national)'!$B$5:$BC$14,43,FALSE)&gt;T$150,10,IF(VLOOKUP($B108,'Indicator Data (national)'!$B$5:$BC$14,43,FALSE)&lt;T$149,0,(T$150-VLOOKUP($B108,'Indicator Data (national)'!$B$5:$BC$14,43,FALSE))/(T$150-T$149)*10)))</f>
        <v>8.5136604607862196</v>
      </c>
      <c r="U108" s="3">
        <f t="shared" si="28"/>
        <v>8.5136604607862196</v>
      </c>
      <c r="V108" s="5">
        <f t="shared" si="34"/>
        <v>8.5424708162481267</v>
      </c>
      <c r="W108" s="2">
        <f>IF(VLOOKUP($B108,'Indicator Data (national)'!$B$5:$AS$14,37,FALSE)="No data","x",IF(VLOOKUP($B108,'Indicator Data (national)'!$B$5:$AS$14,37,FALSE)&gt;W$150,10,IF(VLOOKUP($B108,'Indicator Data (national)'!$B$5:$AS$14,37,FALSE)&lt;W$149,0,(LOG(W$150)-LOG(VLOOKUP($B108,'Indicator Data (national)'!$B$5:$AS$14,37,FALSE)))/(LOG(W$150)-LOG(W$149))*10)))</f>
        <v>9.6558878146011455</v>
      </c>
      <c r="X108" s="2">
        <f>IF(VLOOKUP($B108,'Indicator Data (national)'!$B$5:$BB$14,45,FALSE)="No data","x",IF(VLOOKUP($B108,'Indicator Data (national)'!$B$5:$BB$14,45,FALSE)&gt;X$150,10,IF(VLOOKUP($B108,'Indicator Data (national)'!$B$5:$BB$14,45,FALSE)&lt;X$149,0,10-(X$150-VLOOKUP($B108,'Indicator Data (national)'!$B$5:$BB$14,45,FALSE))/(X$150-X$149)*10)))</f>
        <v>8.6666666666666661</v>
      </c>
      <c r="Y108" s="2">
        <f>IF(VLOOKUP($B108,'Indicator Data (national)'!$B$5:$BB$14,46,FALSE)="No data","x",IF(VLOOKUP($B108,'Indicator Data (national)'!$B$5:$BB$14,46,FALSE)&gt;Y$150,10,IF(VLOOKUP($B108,'Indicator Data (national)'!$B$5:$BB$14,46,FALSE)&lt;Y$149,0,(Y$150-VLOOKUP($B108,'Indicator Data (national)'!$B$5:$BB$14,46,FALSE))/(Y$150-Y$149)*10)))</f>
        <v>7</v>
      </c>
      <c r="Z108" s="156">
        <f>IF(VLOOKUP($B108,'Indicator Data (national)'!$B$5:$BB$14,48,FALSE)="No data","x",VLOOKUP($B108,'Indicator Data (national)'!$B$5:$BB$14,47,FALSE)*VLOOKUP($B108,'Indicator Data (national)'!$B$5:$BB$14,48,FALSE))</f>
        <v>7.8825963475823286</v>
      </c>
      <c r="AA108" s="2">
        <f t="shared" si="29"/>
        <v>9.2117403652417664</v>
      </c>
      <c r="AB108" s="3">
        <f t="shared" si="30"/>
        <v>8.6335737116273936</v>
      </c>
      <c r="AC108" s="2" t="str">
        <f>IF(VLOOKUP($B108,'Indicator Data (national)'!$B$5:$BB$14,49,FALSE)="No data","x",IF(VLOOKUP($B108,'Indicator Data (national)'!$B$5:$BB$14,49,FALSE)&gt;AC$150,0,IF(VLOOKUP($B108,'Indicator Data (national)'!$B$5:$BB$14,49,FALSE)&lt;AC$149,10,(AC$150-VLOOKUP($B108,'Indicator Data (national)'!$B$5:$BB$14,49,FALSE))/(AC$150-AC$149)*10)))</f>
        <v>x</v>
      </c>
      <c r="AD108" s="2" t="str">
        <f>IF(VLOOKUP($B108,'Indicator Data (national)'!$B$5:$BB$14,50,FALSE)="No data","x",IF(VLOOKUP($B108,'Indicator Data (national)'!$B$5:$BB$14,50,FALSE)&gt;AD$150,0,IF(VLOOKUP($B108,'Indicator Data (national)'!$B$5:$BB$14,50,FALSE)&lt;AD$149,10,(AD$150-VLOOKUP($B108,'Indicator Data (national)'!$B$5:$BB$14,50,FALSE))/(AD$150-AD$149)*10)))</f>
        <v>x</v>
      </c>
      <c r="AE108" s="3" t="str">
        <f t="shared" si="31"/>
        <v>x</v>
      </c>
      <c r="AF108" s="2">
        <f>IF(VLOOKUP($B108,'Indicator Data (national)'!$B$5:$BB$14,51,FALSE)="No data","x",IF(VLOOKUP($B108,'Indicator Data (national)'!$B$5:$BB$14,51,FALSE)&gt;AF$150,0,IF(VLOOKUP($B108,'Indicator Data (national)'!$B$5:$BB$14,51,FALSE)&lt;AF$149,10,(AF$150-VLOOKUP($B108,'Indicator Data (national)'!$B$5:$BB$14,51,FALSE))/(AF$150-AF$149)*10)))</f>
        <v>10</v>
      </c>
      <c r="AG108" s="2">
        <f>IF(VLOOKUP($B108,'Indicator Data (national)'!$B$5:$BB$14,52,FALSE)="No data","x",IF(VLOOKUP($B108,'Indicator Data (national)'!$B$5:$BB$14,52,FALSE)&gt;AG$150,0,IF(VLOOKUP($B108,'Indicator Data (national)'!$B$5:$BB$14,52,FALSE)&lt;AG$149,10,(AG$150-VLOOKUP($B108,'Indicator Data (national)'!$B$5:$BB$14,52,FALSE))/(AG$150-AG$149)*10)))</f>
        <v>3.5586119999999992</v>
      </c>
      <c r="AH108" s="2">
        <f>IF(VLOOKUP($B108,'Indicator Data (national)'!$B$5:$BB$14,53,FALSE)="No data","x",IF(VLOOKUP($B108,'Indicator Data (national)'!$B$5:$BB$14,53,FALSE)&gt;AH$150,0,IF(VLOOKUP($B108,'Indicator Data (national)'!$B$5:$BB$14,53,FALSE)&lt;AH$149,10,(AH$150-VLOOKUP($B108,'Indicator Data (national)'!$B$5:$BB$14,53,FALSE))/(AH$150-AH$149)*10)))</f>
        <v>0</v>
      </c>
      <c r="AI108" s="3">
        <f t="shared" si="32"/>
        <v>4.5195373333333331</v>
      </c>
      <c r="AJ108" s="5">
        <f t="shared" si="35"/>
        <v>6.5765555224803638</v>
      </c>
    </row>
    <row r="109" spans="1:36" s="11" customFormat="1" x14ac:dyDescent="0.25">
      <c r="A109" s="16" t="s">
        <v>498</v>
      </c>
      <c r="B109" s="11" t="s">
        <v>578</v>
      </c>
      <c r="C109" s="16" t="s">
        <v>499</v>
      </c>
      <c r="D109" s="120">
        <f>(VLOOKUP($B109,'Indicator Data (national)'!$B$5:$AP$14,39,FALSE)+VLOOKUP($B109,'Indicator Data (national)'!$B$5:$AP$14,40,FALSE)+VLOOKUP($B109,'Indicator Data (national)'!$B$5:$AP$14,41,FALSE))/VLOOKUP($B109,'Indicator Data (national)'!$B$5:$AP$14,38,FALSE)*1000000</f>
        <v>0.84607019924476812</v>
      </c>
      <c r="E109" s="2">
        <f t="shared" si="21"/>
        <v>5.7696490037761592</v>
      </c>
      <c r="F109" s="3">
        <f t="shared" si="22"/>
        <v>5.7696490037761592</v>
      </c>
      <c r="G109" s="2">
        <f>IF(VLOOKUP($B109,'Indicator Data (national)'!$B$5:$AQ$14,30,FALSE)="No data","x",IF(VLOOKUP($B109,'Indicator Data (national)'!$B$5:$AQ$14,30,FALSE)&gt;G$150,10,IF(VLOOKUP($B109,'Indicator Data (national)'!$B$5:$AQ$14,30,FALSE)&lt;G$149,0,(G$150-VLOOKUP($B109,'Indicator Data (national)'!$B$5:$AQ$14,30,FALSE))/(G$150-G$149)*10)))</f>
        <v>9.2000000000000011</v>
      </c>
      <c r="H109" s="2">
        <f>IF(VLOOKUP($B109,'Indicator Data (national)'!$B$5:$AQ$14,29,FALSE)="No data","x",IF(VLOOKUP($B109,'Indicator Data (national)'!$B$5:$AQ$14,29,FALSE)&gt;H$150,10,IF(VLOOKUP($B109,'Indicator Data (national)'!$B$5:$AQ$14,29,FALSE)&lt;H$149,0,(H$150-VLOOKUP($B109,'Indicator Data (national)'!$B$5:$AQ$14,29,FALSE))/(H$150-H$149)*10)))</f>
        <v>9.4153704643249512</v>
      </c>
      <c r="I109" s="3">
        <f t="shared" si="23"/>
        <v>9.307685232162477</v>
      </c>
      <c r="J109" s="5">
        <f t="shared" si="24"/>
        <v>7.5386671179693181</v>
      </c>
      <c r="K109" s="2">
        <f>IF(VLOOKUP($B109,'Indicator Data (national)'!$B$5:$AQ$14,33,FALSE)="No data","x",IF(VLOOKUP($B109,'Indicator Data (national)'!$B$5:$AQ$14,33,FALSE)&gt;K$150,10,IF(VLOOKUP($B109,'Indicator Data (national)'!$B$5:$AQ$14,33,FALSE)&lt;K$149,0,(K$150-VLOOKUP($B109,'Indicator Data (national)'!$B$5:$AQ$14,33,FALSE))/(K$150-K$149)*10)))</f>
        <v>9.6999999999999993</v>
      </c>
      <c r="L109" s="2">
        <f>IF(VLOOKUP($B109,'Indicator Data (national)'!$B$5:$AQ$14,34,FALSE)="No data","x",IF(VLOOKUP($B109,'Indicator Data (national)'!$B$5:$AQ$14,34,FALSE)&gt;L$150,10,IF(VLOOKUP($B109,'Indicator Data (national)'!$B$5:$AQ$14,34,FALSE)&lt;L$149,0,(L$150-VLOOKUP($B109,'Indicator Data (national)'!$B$5:$AQ$14,34,FALSE))/(L$150-L$149)*10)))</f>
        <v>5.0617321591378008</v>
      </c>
      <c r="M109" s="3">
        <f t="shared" si="25"/>
        <v>7.3808660795689001</v>
      </c>
      <c r="N109" s="2" t="str">
        <f>IF(VLOOKUP($B109,'Indicator Data (national)'!$B$5:$AS$14,44,FALSE)="No data","x",IF(VLOOKUP($B109,'Indicator Data (national)'!$B$5:$AS$14,44,FALSE)&gt;N$150,10,IF(VLOOKUP($B109,'Indicator Data (national)'!$B$5:$AS$14,44,FALSE)&lt;N$149,0,10-(N$150-VLOOKUP($B109,'Indicator Data (national)'!$B$5:$AS$14,44,FALSE))/(N$150-N$149)*10)))</f>
        <v>x</v>
      </c>
      <c r="O109" s="2">
        <f>IF(VLOOKUP($B109,'Indicator Data (national)'!$B$5:$AS$14,42,FALSE)="No data","x",IF(VLOOKUP($B109,'Indicator Data (national)'!$B$5:$AS$14,42,FALSE)&gt;O$150,0,IF(VLOOKUP($B109,'Indicator Data (national)'!$B$5:$AS$14,42,FALSE)&lt;O$149,10,(O$150-VLOOKUP($B109,'Indicator Data (national)'!$B$5:$AS$14,42,FALSE))/(O$150-O$149)*10)))</f>
        <v>9.8657718167785227</v>
      </c>
      <c r="P109" s="158">
        <f t="shared" si="26"/>
        <v>9.8657718167785227</v>
      </c>
      <c r="Q109" s="2">
        <f>IF(VLOOKUP($B109,'Indicator Data (national)'!$B$5:$Q$14,16,FALSE)="No data","x",IF(VLOOKUP($B109,'Indicator Data (national)'!$B$5:$Q$14,16,FALSE)&gt;Q$150,0,IF(VLOOKUP($B109,'Indicator Data (national)'!$B$5:$Q$14,16,FALSE)&lt;Q$149,10,(Q$150-VLOOKUP($B109,'Indicator Data (national)'!$B$5:$Q$14,16,FALSE))/(Q$150-Q$149)*10)))</f>
        <v>9.6</v>
      </c>
      <c r="R109" s="158">
        <f t="shared" si="27"/>
        <v>9.6</v>
      </c>
      <c r="S109" s="3">
        <f t="shared" si="33"/>
        <v>9.7328859083892603</v>
      </c>
      <c r="T109" s="2">
        <f>IF(VLOOKUP($B109,'Indicator Data (national)'!$B$5:$BC$14,43,FALSE)="No data","x",IF(VLOOKUP($B109,'Indicator Data (national)'!$B$5:$BC$14,43,FALSE)&gt;T$150,10,IF(VLOOKUP($B109,'Indicator Data (national)'!$B$5:$BC$14,43,FALSE)&lt;T$149,0,(T$150-VLOOKUP($B109,'Indicator Data (national)'!$B$5:$BC$14,43,FALSE))/(T$150-T$149)*10)))</f>
        <v>8.5136604607862196</v>
      </c>
      <c r="U109" s="3">
        <f t="shared" si="28"/>
        <v>8.5136604607862196</v>
      </c>
      <c r="V109" s="5">
        <f t="shared" si="34"/>
        <v>8.5424708162481267</v>
      </c>
      <c r="W109" s="2">
        <f>IF(VLOOKUP($B109,'Indicator Data (national)'!$B$5:$AS$14,37,FALSE)="No data","x",IF(VLOOKUP($B109,'Indicator Data (national)'!$B$5:$AS$14,37,FALSE)&gt;W$150,10,IF(VLOOKUP($B109,'Indicator Data (national)'!$B$5:$AS$14,37,FALSE)&lt;W$149,0,(LOG(W$150)-LOG(VLOOKUP($B109,'Indicator Data (national)'!$B$5:$AS$14,37,FALSE)))/(LOG(W$150)-LOG(W$149))*10)))</f>
        <v>9.6558878146011455</v>
      </c>
      <c r="X109" s="2">
        <f>IF(VLOOKUP($B109,'Indicator Data (national)'!$B$5:$BB$14,45,FALSE)="No data","x",IF(VLOOKUP($B109,'Indicator Data (national)'!$B$5:$BB$14,45,FALSE)&gt;X$150,10,IF(VLOOKUP($B109,'Indicator Data (national)'!$B$5:$BB$14,45,FALSE)&lt;X$149,0,10-(X$150-VLOOKUP($B109,'Indicator Data (national)'!$B$5:$BB$14,45,FALSE))/(X$150-X$149)*10)))</f>
        <v>8.6666666666666661</v>
      </c>
      <c r="Y109" s="2">
        <f>IF(VLOOKUP($B109,'Indicator Data (national)'!$B$5:$BB$14,46,FALSE)="No data","x",IF(VLOOKUP($B109,'Indicator Data (national)'!$B$5:$BB$14,46,FALSE)&gt;Y$150,10,IF(VLOOKUP($B109,'Indicator Data (national)'!$B$5:$BB$14,46,FALSE)&lt;Y$149,0,(Y$150-VLOOKUP($B109,'Indicator Data (national)'!$B$5:$BB$14,46,FALSE))/(Y$150-Y$149)*10)))</f>
        <v>7</v>
      </c>
      <c r="Z109" s="156">
        <f>IF(VLOOKUP($B109,'Indicator Data (national)'!$B$5:$BB$14,48,FALSE)="No data","x",VLOOKUP($B109,'Indicator Data (national)'!$B$5:$BB$14,47,FALSE)*VLOOKUP($B109,'Indicator Data (national)'!$B$5:$BB$14,48,FALSE))</f>
        <v>7.8825963475823286</v>
      </c>
      <c r="AA109" s="2">
        <f t="shared" si="29"/>
        <v>9.2117403652417664</v>
      </c>
      <c r="AB109" s="3">
        <f t="shared" si="30"/>
        <v>8.6335737116273936</v>
      </c>
      <c r="AC109" s="2" t="str">
        <f>IF(VLOOKUP($B109,'Indicator Data (national)'!$B$5:$BB$14,49,FALSE)="No data","x",IF(VLOOKUP($B109,'Indicator Data (national)'!$B$5:$BB$14,49,FALSE)&gt;AC$150,0,IF(VLOOKUP($B109,'Indicator Data (national)'!$B$5:$BB$14,49,FALSE)&lt;AC$149,10,(AC$150-VLOOKUP($B109,'Indicator Data (national)'!$B$5:$BB$14,49,FALSE))/(AC$150-AC$149)*10)))</f>
        <v>x</v>
      </c>
      <c r="AD109" s="2" t="str">
        <f>IF(VLOOKUP($B109,'Indicator Data (national)'!$B$5:$BB$14,50,FALSE)="No data","x",IF(VLOOKUP($B109,'Indicator Data (national)'!$B$5:$BB$14,50,FALSE)&gt;AD$150,0,IF(VLOOKUP($B109,'Indicator Data (national)'!$B$5:$BB$14,50,FALSE)&lt;AD$149,10,(AD$150-VLOOKUP($B109,'Indicator Data (national)'!$B$5:$BB$14,50,FALSE))/(AD$150-AD$149)*10)))</f>
        <v>x</v>
      </c>
      <c r="AE109" s="3" t="str">
        <f t="shared" si="31"/>
        <v>x</v>
      </c>
      <c r="AF109" s="2">
        <f>IF(VLOOKUP($B109,'Indicator Data (national)'!$B$5:$BB$14,51,FALSE)="No data","x",IF(VLOOKUP($B109,'Indicator Data (national)'!$B$5:$BB$14,51,FALSE)&gt;AF$150,0,IF(VLOOKUP($B109,'Indicator Data (national)'!$B$5:$BB$14,51,FALSE)&lt;AF$149,10,(AF$150-VLOOKUP($B109,'Indicator Data (national)'!$B$5:$BB$14,51,FALSE))/(AF$150-AF$149)*10)))</f>
        <v>10</v>
      </c>
      <c r="AG109" s="2">
        <f>IF(VLOOKUP($B109,'Indicator Data (national)'!$B$5:$BB$14,52,FALSE)="No data","x",IF(VLOOKUP($B109,'Indicator Data (national)'!$B$5:$BB$14,52,FALSE)&gt;AG$150,0,IF(VLOOKUP($B109,'Indicator Data (national)'!$B$5:$BB$14,52,FALSE)&lt;AG$149,10,(AG$150-VLOOKUP($B109,'Indicator Data (national)'!$B$5:$BB$14,52,FALSE))/(AG$150-AG$149)*10)))</f>
        <v>3.5586119999999992</v>
      </c>
      <c r="AH109" s="2">
        <f>IF(VLOOKUP($B109,'Indicator Data (national)'!$B$5:$BB$14,53,FALSE)="No data","x",IF(VLOOKUP($B109,'Indicator Data (national)'!$B$5:$BB$14,53,FALSE)&gt;AH$150,0,IF(VLOOKUP($B109,'Indicator Data (national)'!$B$5:$BB$14,53,FALSE)&lt;AH$149,10,(AH$150-VLOOKUP($B109,'Indicator Data (national)'!$B$5:$BB$14,53,FALSE))/(AH$150-AH$149)*10)))</f>
        <v>0</v>
      </c>
      <c r="AI109" s="3">
        <f t="shared" si="32"/>
        <v>4.5195373333333331</v>
      </c>
      <c r="AJ109" s="5">
        <f t="shared" si="35"/>
        <v>6.5765555224803638</v>
      </c>
    </row>
    <row r="110" spans="1:36" s="11" customFormat="1" x14ac:dyDescent="0.25">
      <c r="A110" s="16" t="s">
        <v>500</v>
      </c>
      <c r="B110" s="11" t="s">
        <v>578</v>
      </c>
      <c r="C110" s="16" t="s">
        <v>501</v>
      </c>
      <c r="D110" s="120">
        <f>(VLOOKUP($B110,'Indicator Data (national)'!$B$5:$AP$14,39,FALSE)+VLOOKUP($B110,'Indicator Data (national)'!$B$5:$AP$14,40,FALSE)+VLOOKUP($B110,'Indicator Data (national)'!$B$5:$AP$14,41,FALSE))/VLOOKUP($B110,'Indicator Data (national)'!$B$5:$AP$14,38,FALSE)*1000000</f>
        <v>0.84607019924476812</v>
      </c>
      <c r="E110" s="2">
        <f t="shared" si="21"/>
        <v>5.7696490037761592</v>
      </c>
      <c r="F110" s="3">
        <f t="shared" si="22"/>
        <v>5.7696490037761592</v>
      </c>
      <c r="G110" s="2">
        <f>IF(VLOOKUP($B110,'Indicator Data (national)'!$B$5:$AQ$14,30,FALSE)="No data","x",IF(VLOOKUP($B110,'Indicator Data (national)'!$B$5:$AQ$14,30,FALSE)&gt;G$150,10,IF(VLOOKUP($B110,'Indicator Data (national)'!$B$5:$AQ$14,30,FALSE)&lt;G$149,0,(G$150-VLOOKUP($B110,'Indicator Data (national)'!$B$5:$AQ$14,30,FALSE))/(G$150-G$149)*10)))</f>
        <v>9.2000000000000011</v>
      </c>
      <c r="H110" s="2">
        <f>IF(VLOOKUP($B110,'Indicator Data (national)'!$B$5:$AQ$14,29,FALSE)="No data","x",IF(VLOOKUP($B110,'Indicator Data (national)'!$B$5:$AQ$14,29,FALSE)&gt;H$150,10,IF(VLOOKUP($B110,'Indicator Data (national)'!$B$5:$AQ$14,29,FALSE)&lt;H$149,0,(H$150-VLOOKUP($B110,'Indicator Data (national)'!$B$5:$AQ$14,29,FALSE))/(H$150-H$149)*10)))</f>
        <v>9.4153704643249512</v>
      </c>
      <c r="I110" s="3">
        <f t="shared" si="23"/>
        <v>9.307685232162477</v>
      </c>
      <c r="J110" s="5">
        <f t="shared" si="24"/>
        <v>7.5386671179693181</v>
      </c>
      <c r="K110" s="2">
        <f>IF(VLOOKUP($B110,'Indicator Data (national)'!$B$5:$AQ$14,33,FALSE)="No data","x",IF(VLOOKUP($B110,'Indicator Data (national)'!$B$5:$AQ$14,33,FALSE)&gt;K$150,10,IF(VLOOKUP($B110,'Indicator Data (national)'!$B$5:$AQ$14,33,FALSE)&lt;K$149,0,(K$150-VLOOKUP($B110,'Indicator Data (national)'!$B$5:$AQ$14,33,FALSE))/(K$150-K$149)*10)))</f>
        <v>9.6999999999999993</v>
      </c>
      <c r="L110" s="2">
        <f>IF(VLOOKUP($B110,'Indicator Data (national)'!$B$5:$AQ$14,34,FALSE)="No data","x",IF(VLOOKUP($B110,'Indicator Data (national)'!$B$5:$AQ$14,34,FALSE)&gt;L$150,10,IF(VLOOKUP($B110,'Indicator Data (national)'!$B$5:$AQ$14,34,FALSE)&lt;L$149,0,(L$150-VLOOKUP($B110,'Indicator Data (national)'!$B$5:$AQ$14,34,FALSE))/(L$150-L$149)*10)))</f>
        <v>5.0617321591378008</v>
      </c>
      <c r="M110" s="3">
        <f t="shared" si="25"/>
        <v>7.3808660795689001</v>
      </c>
      <c r="N110" s="2" t="str">
        <f>IF(VLOOKUP($B110,'Indicator Data (national)'!$B$5:$AS$14,44,FALSE)="No data","x",IF(VLOOKUP($B110,'Indicator Data (national)'!$B$5:$AS$14,44,FALSE)&gt;N$150,10,IF(VLOOKUP($B110,'Indicator Data (national)'!$B$5:$AS$14,44,FALSE)&lt;N$149,0,10-(N$150-VLOOKUP($B110,'Indicator Data (national)'!$B$5:$AS$14,44,FALSE))/(N$150-N$149)*10)))</f>
        <v>x</v>
      </c>
      <c r="O110" s="2">
        <f>IF(VLOOKUP($B110,'Indicator Data (national)'!$B$5:$AS$14,42,FALSE)="No data","x",IF(VLOOKUP($B110,'Indicator Data (national)'!$B$5:$AS$14,42,FALSE)&gt;O$150,0,IF(VLOOKUP($B110,'Indicator Data (national)'!$B$5:$AS$14,42,FALSE)&lt;O$149,10,(O$150-VLOOKUP($B110,'Indicator Data (national)'!$B$5:$AS$14,42,FALSE))/(O$150-O$149)*10)))</f>
        <v>9.8657718167785227</v>
      </c>
      <c r="P110" s="158">
        <f t="shared" si="26"/>
        <v>9.8657718167785227</v>
      </c>
      <c r="Q110" s="2">
        <f>IF(VLOOKUP($B110,'Indicator Data (national)'!$B$5:$Q$14,16,FALSE)="No data","x",IF(VLOOKUP($B110,'Indicator Data (national)'!$B$5:$Q$14,16,FALSE)&gt;Q$150,0,IF(VLOOKUP($B110,'Indicator Data (national)'!$B$5:$Q$14,16,FALSE)&lt;Q$149,10,(Q$150-VLOOKUP($B110,'Indicator Data (national)'!$B$5:$Q$14,16,FALSE))/(Q$150-Q$149)*10)))</f>
        <v>9.6</v>
      </c>
      <c r="R110" s="158">
        <f t="shared" si="27"/>
        <v>9.6</v>
      </c>
      <c r="S110" s="3">
        <f t="shared" si="33"/>
        <v>9.7328859083892603</v>
      </c>
      <c r="T110" s="2">
        <f>IF(VLOOKUP($B110,'Indicator Data (national)'!$B$5:$BC$14,43,FALSE)="No data","x",IF(VLOOKUP($B110,'Indicator Data (national)'!$B$5:$BC$14,43,FALSE)&gt;T$150,10,IF(VLOOKUP($B110,'Indicator Data (national)'!$B$5:$BC$14,43,FALSE)&lt;T$149,0,(T$150-VLOOKUP($B110,'Indicator Data (national)'!$B$5:$BC$14,43,FALSE))/(T$150-T$149)*10)))</f>
        <v>8.5136604607862196</v>
      </c>
      <c r="U110" s="3">
        <f t="shared" si="28"/>
        <v>8.5136604607862196</v>
      </c>
      <c r="V110" s="5">
        <f t="shared" si="34"/>
        <v>8.5424708162481267</v>
      </c>
      <c r="W110" s="2">
        <f>IF(VLOOKUP($B110,'Indicator Data (national)'!$B$5:$AS$14,37,FALSE)="No data","x",IF(VLOOKUP($B110,'Indicator Data (national)'!$B$5:$AS$14,37,FALSE)&gt;W$150,10,IF(VLOOKUP($B110,'Indicator Data (national)'!$B$5:$AS$14,37,FALSE)&lt;W$149,0,(LOG(W$150)-LOG(VLOOKUP($B110,'Indicator Data (national)'!$B$5:$AS$14,37,FALSE)))/(LOG(W$150)-LOG(W$149))*10)))</f>
        <v>9.6558878146011455</v>
      </c>
      <c r="X110" s="2">
        <f>IF(VLOOKUP($B110,'Indicator Data (national)'!$B$5:$BB$14,45,FALSE)="No data","x",IF(VLOOKUP($B110,'Indicator Data (national)'!$B$5:$BB$14,45,FALSE)&gt;X$150,10,IF(VLOOKUP($B110,'Indicator Data (national)'!$B$5:$BB$14,45,FALSE)&lt;X$149,0,10-(X$150-VLOOKUP($B110,'Indicator Data (national)'!$B$5:$BB$14,45,FALSE))/(X$150-X$149)*10)))</f>
        <v>8.6666666666666661</v>
      </c>
      <c r="Y110" s="2">
        <f>IF(VLOOKUP($B110,'Indicator Data (national)'!$B$5:$BB$14,46,FALSE)="No data","x",IF(VLOOKUP($B110,'Indicator Data (national)'!$B$5:$BB$14,46,FALSE)&gt;Y$150,10,IF(VLOOKUP($B110,'Indicator Data (national)'!$B$5:$BB$14,46,FALSE)&lt;Y$149,0,(Y$150-VLOOKUP($B110,'Indicator Data (national)'!$B$5:$BB$14,46,FALSE))/(Y$150-Y$149)*10)))</f>
        <v>7</v>
      </c>
      <c r="Z110" s="156">
        <f>IF(VLOOKUP($B110,'Indicator Data (national)'!$B$5:$BB$14,48,FALSE)="No data","x",VLOOKUP($B110,'Indicator Data (national)'!$B$5:$BB$14,47,FALSE)*VLOOKUP($B110,'Indicator Data (national)'!$B$5:$BB$14,48,FALSE))</f>
        <v>7.8825963475823286</v>
      </c>
      <c r="AA110" s="2">
        <f t="shared" si="29"/>
        <v>9.2117403652417664</v>
      </c>
      <c r="AB110" s="3">
        <f t="shared" si="30"/>
        <v>8.6335737116273936</v>
      </c>
      <c r="AC110" s="2" t="str">
        <f>IF(VLOOKUP($B110,'Indicator Data (national)'!$B$5:$BB$14,49,FALSE)="No data","x",IF(VLOOKUP($B110,'Indicator Data (national)'!$B$5:$BB$14,49,FALSE)&gt;AC$150,0,IF(VLOOKUP($B110,'Indicator Data (national)'!$B$5:$BB$14,49,FALSE)&lt;AC$149,10,(AC$150-VLOOKUP($B110,'Indicator Data (national)'!$B$5:$BB$14,49,FALSE))/(AC$150-AC$149)*10)))</f>
        <v>x</v>
      </c>
      <c r="AD110" s="2" t="str">
        <f>IF(VLOOKUP($B110,'Indicator Data (national)'!$B$5:$BB$14,50,FALSE)="No data","x",IF(VLOOKUP($B110,'Indicator Data (national)'!$B$5:$BB$14,50,FALSE)&gt;AD$150,0,IF(VLOOKUP($B110,'Indicator Data (national)'!$B$5:$BB$14,50,FALSE)&lt;AD$149,10,(AD$150-VLOOKUP($B110,'Indicator Data (national)'!$B$5:$BB$14,50,FALSE))/(AD$150-AD$149)*10)))</f>
        <v>x</v>
      </c>
      <c r="AE110" s="3" t="str">
        <f t="shared" si="31"/>
        <v>x</v>
      </c>
      <c r="AF110" s="2">
        <f>IF(VLOOKUP($B110,'Indicator Data (national)'!$B$5:$BB$14,51,FALSE)="No data","x",IF(VLOOKUP($B110,'Indicator Data (national)'!$B$5:$BB$14,51,FALSE)&gt;AF$150,0,IF(VLOOKUP($B110,'Indicator Data (national)'!$B$5:$BB$14,51,FALSE)&lt;AF$149,10,(AF$150-VLOOKUP($B110,'Indicator Data (national)'!$B$5:$BB$14,51,FALSE))/(AF$150-AF$149)*10)))</f>
        <v>10</v>
      </c>
      <c r="AG110" s="2">
        <f>IF(VLOOKUP($B110,'Indicator Data (national)'!$B$5:$BB$14,52,FALSE)="No data","x",IF(VLOOKUP($B110,'Indicator Data (national)'!$B$5:$BB$14,52,FALSE)&gt;AG$150,0,IF(VLOOKUP($B110,'Indicator Data (national)'!$B$5:$BB$14,52,FALSE)&lt;AG$149,10,(AG$150-VLOOKUP($B110,'Indicator Data (national)'!$B$5:$BB$14,52,FALSE))/(AG$150-AG$149)*10)))</f>
        <v>3.5586119999999992</v>
      </c>
      <c r="AH110" s="2">
        <f>IF(VLOOKUP($B110,'Indicator Data (national)'!$B$5:$BB$14,53,FALSE)="No data","x",IF(VLOOKUP($B110,'Indicator Data (national)'!$B$5:$BB$14,53,FALSE)&gt;AH$150,0,IF(VLOOKUP($B110,'Indicator Data (national)'!$B$5:$BB$14,53,FALSE)&lt;AH$149,10,(AH$150-VLOOKUP($B110,'Indicator Data (national)'!$B$5:$BB$14,53,FALSE))/(AH$150-AH$149)*10)))</f>
        <v>0</v>
      </c>
      <c r="AI110" s="3">
        <f t="shared" si="32"/>
        <v>4.5195373333333331</v>
      </c>
      <c r="AJ110" s="5">
        <f t="shared" si="35"/>
        <v>6.5765555224803638</v>
      </c>
    </row>
    <row r="111" spans="1:36" s="11" customFormat="1" x14ac:dyDescent="0.25">
      <c r="A111" s="16" t="s">
        <v>502</v>
      </c>
      <c r="B111" s="11" t="s">
        <v>578</v>
      </c>
      <c r="C111" s="16" t="s">
        <v>503</v>
      </c>
      <c r="D111" s="120">
        <f>(VLOOKUP($B111,'Indicator Data (national)'!$B$5:$AP$14,39,FALSE)+VLOOKUP($B111,'Indicator Data (national)'!$B$5:$AP$14,40,FALSE)+VLOOKUP($B111,'Indicator Data (national)'!$B$5:$AP$14,41,FALSE))/VLOOKUP($B111,'Indicator Data (national)'!$B$5:$AP$14,38,FALSE)*1000000</f>
        <v>0.84607019924476812</v>
      </c>
      <c r="E111" s="2">
        <f t="shared" si="21"/>
        <v>5.7696490037761592</v>
      </c>
      <c r="F111" s="3">
        <f t="shared" si="22"/>
        <v>5.7696490037761592</v>
      </c>
      <c r="G111" s="2">
        <f>IF(VLOOKUP($B111,'Indicator Data (national)'!$B$5:$AQ$14,30,FALSE)="No data","x",IF(VLOOKUP($B111,'Indicator Data (national)'!$B$5:$AQ$14,30,FALSE)&gt;G$150,10,IF(VLOOKUP($B111,'Indicator Data (national)'!$B$5:$AQ$14,30,FALSE)&lt;G$149,0,(G$150-VLOOKUP($B111,'Indicator Data (national)'!$B$5:$AQ$14,30,FALSE))/(G$150-G$149)*10)))</f>
        <v>9.2000000000000011</v>
      </c>
      <c r="H111" s="2">
        <f>IF(VLOOKUP($B111,'Indicator Data (national)'!$B$5:$AQ$14,29,FALSE)="No data","x",IF(VLOOKUP($B111,'Indicator Data (national)'!$B$5:$AQ$14,29,FALSE)&gt;H$150,10,IF(VLOOKUP($B111,'Indicator Data (national)'!$B$5:$AQ$14,29,FALSE)&lt;H$149,0,(H$150-VLOOKUP($B111,'Indicator Data (national)'!$B$5:$AQ$14,29,FALSE))/(H$150-H$149)*10)))</f>
        <v>9.4153704643249512</v>
      </c>
      <c r="I111" s="3">
        <f t="shared" si="23"/>
        <v>9.307685232162477</v>
      </c>
      <c r="J111" s="5">
        <f t="shared" si="24"/>
        <v>7.5386671179693181</v>
      </c>
      <c r="K111" s="2">
        <f>IF(VLOOKUP($B111,'Indicator Data (national)'!$B$5:$AQ$14,33,FALSE)="No data","x",IF(VLOOKUP($B111,'Indicator Data (national)'!$B$5:$AQ$14,33,FALSE)&gt;K$150,10,IF(VLOOKUP($B111,'Indicator Data (national)'!$B$5:$AQ$14,33,FALSE)&lt;K$149,0,(K$150-VLOOKUP($B111,'Indicator Data (national)'!$B$5:$AQ$14,33,FALSE))/(K$150-K$149)*10)))</f>
        <v>9.6999999999999993</v>
      </c>
      <c r="L111" s="2">
        <f>IF(VLOOKUP($B111,'Indicator Data (national)'!$B$5:$AQ$14,34,FALSE)="No data","x",IF(VLOOKUP($B111,'Indicator Data (national)'!$B$5:$AQ$14,34,FALSE)&gt;L$150,10,IF(VLOOKUP($B111,'Indicator Data (national)'!$B$5:$AQ$14,34,FALSE)&lt;L$149,0,(L$150-VLOOKUP($B111,'Indicator Data (national)'!$B$5:$AQ$14,34,FALSE))/(L$150-L$149)*10)))</f>
        <v>5.0617321591378008</v>
      </c>
      <c r="M111" s="3">
        <f t="shared" si="25"/>
        <v>7.3808660795689001</v>
      </c>
      <c r="N111" s="2" t="str">
        <f>IF(VLOOKUP($B111,'Indicator Data (national)'!$B$5:$AS$14,44,FALSE)="No data","x",IF(VLOOKUP($B111,'Indicator Data (national)'!$B$5:$AS$14,44,FALSE)&gt;N$150,10,IF(VLOOKUP($B111,'Indicator Data (national)'!$B$5:$AS$14,44,FALSE)&lt;N$149,0,10-(N$150-VLOOKUP($B111,'Indicator Data (national)'!$B$5:$AS$14,44,FALSE))/(N$150-N$149)*10)))</f>
        <v>x</v>
      </c>
      <c r="O111" s="2">
        <f>IF(VLOOKUP($B111,'Indicator Data (national)'!$B$5:$AS$14,42,FALSE)="No data","x",IF(VLOOKUP($B111,'Indicator Data (national)'!$B$5:$AS$14,42,FALSE)&gt;O$150,0,IF(VLOOKUP($B111,'Indicator Data (national)'!$B$5:$AS$14,42,FALSE)&lt;O$149,10,(O$150-VLOOKUP($B111,'Indicator Data (national)'!$B$5:$AS$14,42,FALSE))/(O$150-O$149)*10)))</f>
        <v>9.8657718167785227</v>
      </c>
      <c r="P111" s="158">
        <f t="shared" si="26"/>
        <v>9.8657718167785227</v>
      </c>
      <c r="Q111" s="2">
        <f>IF(VLOOKUP($B111,'Indicator Data (national)'!$B$5:$Q$14,16,FALSE)="No data","x",IF(VLOOKUP($B111,'Indicator Data (national)'!$B$5:$Q$14,16,FALSE)&gt;Q$150,0,IF(VLOOKUP($B111,'Indicator Data (national)'!$B$5:$Q$14,16,FALSE)&lt;Q$149,10,(Q$150-VLOOKUP($B111,'Indicator Data (national)'!$B$5:$Q$14,16,FALSE))/(Q$150-Q$149)*10)))</f>
        <v>9.6</v>
      </c>
      <c r="R111" s="158">
        <f t="shared" si="27"/>
        <v>9.6</v>
      </c>
      <c r="S111" s="3">
        <f t="shared" si="33"/>
        <v>9.7328859083892603</v>
      </c>
      <c r="T111" s="2">
        <f>IF(VLOOKUP($B111,'Indicator Data (national)'!$B$5:$BC$14,43,FALSE)="No data","x",IF(VLOOKUP($B111,'Indicator Data (national)'!$B$5:$BC$14,43,FALSE)&gt;T$150,10,IF(VLOOKUP($B111,'Indicator Data (national)'!$B$5:$BC$14,43,FALSE)&lt;T$149,0,(T$150-VLOOKUP($B111,'Indicator Data (national)'!$B$5:$BC$14,43,FALSE))/(T$150-T$149)*10)))</f>
        <v>8.5136604607862196</v>
      </c>
      <c r="U111" s="3">
        <f t="shared" si="28"/>
        <v>8.5136604607862196</v>
      </c>
      <c r="V111" s="5">
        <f t="shared" si="34"/>
        <v>8.5424708162481267</v>
      </c>
      <c r="W111" s="2">
        <f>IF(VLOOKUP($B111,'Indicator Data (national)'!$B$5:$AS$14,37,FALSE)="No data","x",IF(VLOOKUP($B111,'Indicator Data (national)'!$B$5:$AS$14,37,FALSE)&gt;W$150,10,IF(VLOOKUP($B111,'Indicator Data (national)'!$B$5:$AS$14,37,FALSE)&lt;W$149,0,(LOG(W$150)-LOG(VLOOKUP($B111,'Indicator Data (national)'!$B$5:$AS$14,37,FALSE)))/(LOG(W$150)-LOG(W$149))*10)))</f>
        <v>9.6558878146011455</v>
      </c>
      <c r="X111" s="2">
        <f>IF(VLOOKUP($B111,'Indicator Data (national)'!$B$5:$BB$14,45,FALSE)="No data","x",IF(VLOOKUP($B111,'Indicator Data (national)'!$B$5:$BB$14,45,FALSE)&gt;X$150,10,IF(VLOOKUP($B111,'Indicator Data (national)'!$B$5:$BB$14,45,FALSE)&lt;X$149,0,10-(X$150-VLOOKUP($B111,'Indicator Data (national)'!$B$5:$BB$14,45,FALSE))/(X$150-X$149)*10)))</f>
        <v>8.6666666666666661</v>
      </c>
      <c r="Y111" s="2">
        <f>IF(VLOOKUP($B111,'Indicator Data (national)'!$B$5:$BB$14,46,FALSE)="No data","x",IF(VLOOKUP($B111,'Indicator Data (national)'!$B$5:$BB$14,46,FALSE)&gt;Y$150,10,IF(VLOOKUP($B111,'Indicator Data (national)'!$B$5:$BB$14,46,FALSE)&lt;Y$149,0,(Y$150-VLOOKUP($B111,'Indicator Data (national)'!$B$5:$BB$14,46,FALSE))/(Y$150-Y$149)*10)))</f>
        <v>7</v>
      </c>
      <c r="Z111" s="156">
        <f>IF(VLOOKUP($B111,'Indicator Data (national)'!$B$5:$BB$14,48,FALSE)="No data","x",VLOOKUP($B111,'Indicator Data (national)'!$B$5:$BB$14,47,FALSE)*VLOOKUP($B111,'Indicator Data (national)'!$B$5:$BB$14,48,FALSE))</f>
        <v>7.8825963475823286</v>
      </c>
      <c r="AA111" s="2">
        <f t="shared" si="29"/>
        <v>9.2117403652417664</v>
      </c>
      <c r="AB111" s="3">
        <f t="shared" si="30"/>
        <v>8.6335737116273936</v>
      </c>
      <c r="AC111" s="2" t="str">
        <f>IF(VLOOKUP($B111,'Indicator Data (national)'!$B$5:$BB$14,49,FALSE)="No data","x",IF(VLOOKUP($B111,'Indicator Data (national)'!$B$5:$BB$14,49,FALSE)&gt;AC$150,0,IF(VLOOKUP($B111,'Indicator Data (national)'!$B$5:$BB$14,49,FALSE)&lt;AC$149,10,(AC$150-VLOOKUP($B111,'Indicator Data (national)'!$B$5:$BB$14,49,FALSE))/(AC$150-AC$149)*10)))</f>
        <v>x</v>
      </c>
      <c r="AD111" s="2" t="str">
        <f>IF(VLOOKUP($B111,'Indicator Data (national)'!$B$5:$BB$14,50,FALSE)="No data","x",IF(VLOOKUP($B111,'Indicator Data (national)'!$B$5:$BB$14,50,FALSE)&gt;AD$150,0,IF(VLOOKUP($B111,'Indicator Data (national)'!$B$5:$BB$14,50,FALSE)&lt;AD$149,10,(AD$150-VLOOKUP($B111,'Indicator Data (national)'!$B$5:$BB$14,50,FALSE))/(AD$150-AD$149)*10)))</f>
        <v>x</v>
      </c>
      <c r="AE111" s="3" t="str">
        <f t="shared" si="31"/>
        <v>x</v>
      </c>
      <c r="AF111" s="2">
        <f>IF(VLOOKUP($B111,'Indicator Data (national)'!$B$5:$BB$14,51,FALSE)="No data","x",IF(VLOOKUP($B111,'Indicator Data (national)'!$B$5:$BB$14,51,FALSE)&gt;AF$150,0,IF(VLOOKUP($B111,'Indicator Data (national)'!$B$5:$BB$14,51,FALSE)&lt;AF$149,10,(AF$150-VLOOKUP($B111,'Indicator Data (national)'!$B$5:$BB$14,51,FALSE))/(AF$150-AF$149)*10)))</f>
        <v>10</v>
      </c>
      <c r="AG111" s="2">
        <f>IF(VLOOKUP($B111,'Indicator Data (national)'!$B$5:$BB$14,52,FALSE)="No data","x",IF(VLOOKUP($B111,'Indicator Data (national)'!$B$5:$BB$14,52,FALSE)&gt;AG$150,0,IF(VLOOKUP($B111,'Indicator Data (national)'!$B$5:$BB$14,52,FALSE)&lt;AG$149,10,(AG$150-VLOOKUP($B111,'Indicator Data (national)'!$B$5:$BB$14,52,FALSE))/(AG$150-AG$149)*10)))</f>
        <v>3.5586119999999992</v>
      </c>
      <c r="AH111" s="2">
        <f>IF(VLOOKUP($B111,'Indicator Data (national)'!$B$5:$BB$14,53,FALSE)="No data","x",IF(VLOOKUP($B111,'Indicator Data (national)'!$B$5:$BB$14,53,FALSE)&gt;AH$150,0,IF(VLOOKUP($B111,'Indicator Data (national)'!$B$5:$BB$14,53,FALSE)&lt;AH$149,10,(AH$150-VLOOKUP($B111,'Indicator Data (national)'!$B$5:$BB$14,53,FALSE))/(AH$150-AH$149)*10)))</f>
        <v>0</v>
      </c>
      <c r="AI111" s="3">
        <f t="shared" si="32"/>
        <v>4.5195373333333331</v>
      </c>
      <c r="AJ111" s="5">
        <f t="shared" si="35"/>
        <v>6.5765555224803638</v>
      </c>
    </row>
    <row r="112" spans="1:36" s="11" customFormat="1" x14ac:dyDescent="0.25">
      <c r="A112" s="16" t="s">
        <v>505</v>
      </c>
      <c r="B112" s="11" t="s">
        <v>580</v>
      </c>
      <c r="C112" s="16" t="s">
        <v>506</v>
      </c>
      <c r="D112" s="120">
        <f>(VLOOKUP($B112,'Indicator Data (national)'!$B$5:$AP$14,39,FALSE)+VLOOKUP($B112,'Indicator Data (national)'!$B$5:$AP$14,40,FALSE)+VLOOKUP($B112,'Indicator Data (national)'!$B$5:$AP$14,41,FALSE))/VLOOKUP($B112,'Indicator Data (national)'!$B$5:$AP$14,38,FALSE)*1000000</f>
        <v>0.21246133535667344</v>
      </c>
      <c r="E112" s="2">
        <f t="shared" si="21"/>
        <v>8.9376933232166333</v>
      </c>
      <c r="F112" s="3">
        <f t="shared" si="22"/>
        <v>8.9376933232166333</v>
      </c>
      <c r="G112" s="2">
        <f>IF(VLOOKUP($B112,'Indicator Data (national)'!$B$5:$AQ$14,30,FALSE)="No data","x",IF(VLOOKUP($B112,'Indicator Data (national)'!$B$5:$AQ$14,30,FALSE)&gt;G$150,10,IF(VLOOKUP($B112,'Indicator Data (national)'!$B$5:$AQ$14,30,FALSE)&lt;G$149,0,(G$150-VLOOKUP($B112,'Indicator Data (national)'!$B$5:$AQ$14,30,FALSE))/(G$150-G$149)*10)))</f>
        <v>8.5</v>
      </c>
      <c r="H112" s="2">
        <f>IF(VLOOKUP($B112,'Indicator Data (national)'!$B$5:$AQ$14,29,FALSE)="No data","x",IF(VLOOKUP($B112,'Indicator Data (national)'!$B$5:$AQ$14,29,FALSE)&gt;H$150,10,IF(VLOOKUP($B112,'Indicator Data (national)'!$B$5:$AQ$14,29,FALSE)&lt;H$149,0,(H$150-VLOOKUP($B112,'Indicator Data (national)'!$B$5:$AQ$14,29,FALSE))/(H$150-H$149)*10)))</f>
        <v>7.9709010124206543</v>
      </c>
      <c r="I112" s="3">
        <f t="shared" si="23"/>
        <v>8.2354505062103271</v>
      </c>
      <c r="J112" s="5">
        <f t="shared" si="24"/>
        <v>8.5865719147134811</v>
      </c>
      <c r="K112" s="2" t="str">
        <f>IF(VLOOKUP($B112,'Indicator Data (national)'!$B$5:$AQ$14,33,FALSE)="No data","x",IF(VLOOKUP($B112,'Indicator Data (national)'!$B$5:$AQ$14,33,FALSE)&gt;K$150,10,IF(VLOOKUP($B112,'Indicator Data (national)'!$B$5:$AQ$14,33,FALSE)&lt;K$149,0,(K$150-VLOOKUP($B112,'Indicator Data (national)'!$B$5:$AQ$14,33,FALSE))/(K$150-K$149)*10)))</f>
        <v>x</v>
      </c>
      <c r="L112" s="2">
        <f>IF(VLOOKUP($B112,'Indicator Data (national)'!$B$5:$AQ$14,34,FALSE)="No data","x",IF(VLOOKUP($B112,'Indicator Data (national)'!$B$5:$AQ$14,34,FALSE)&gt;L$150,10,IF(VLOOKUP($B112,'Indicator Data (national)'!$B$5:$AQ$14,34,FALSE)&lt;L$149,0,(L$150-VLOOKUP($B112,'Indicator Data (national)'!$B$5:$AQ$14,34,FALSE))/(L$150-L$149)*10)))</f>
        <v>7.4741640376789604</v>
      </c>
      <c r="M112" s="3">
        <f t="shared" si="25"/>
        <v>7.4741640376789604</v>
      </c>
      <c r="N112" s="2">
        <f>IF(VLOOKUP($B112,'Indicator Data (national)'!$B$5:$AS$14,44,FALSE)="No data","x",IF(VLOOKUP($B112,'Indicator Data (national)'!$B$5:$AS$14,44,FALSE)&gt;N$150,10,IF(VLOOKUP($B112,'Indicator Data (national)'!$B$5:$AS$14,44,FALSE)&lt;N$149,0,10-(N$150-VLOOKUP($B112,'Indicator Data (national)'!$B$5:$AS$14,44,FALSE))/(N$150-N$149)*10)))</f>
        <v>10</v>
      </c>
      <c r="O112" s="2">
        <f>IF(VLOOKUP($B112,'Indicator Data (national)'!$B$5:$AS$14,42,FALSE)="No data","x",IF(VLOOKUP($B112,'Indicator Data (national)'!$B$5:$AS$14,42,FALSE)&gt;O$150,0,IF(VLOOKUP($B112,'Indicator Data (national)'!$B$5:$AS$14,42,FALSE)&lt;O$149,10,(O$150-VLOOKUP($B112,'Indicator Data (national)'!$B$5:$AS$14,42,FALSE))/(O$150-O$149)*10)))</f>
        <v>10</v>
      </c>
      <c r="P112" s="158">
        <f t="shared" si="26"/>
        <v>10</v>
      </c>
      <c r="Q112" s="2">
        <f>IF(VLOOKUP($B112,'Indicator Data (national)'!$B$5:$Q$14,16,FALSE)="No data","x",IF(VLOOKUP($B112,'Indicator Data (national)'!$B$5:$Q$14,16,FALSE)&gt;Q$150,0,IF(VLOOKUP($B112,'Indicator Data (national)'!$B$5:$Q$14,16,FALSE)&lt;Q$149,10,(Q$150-VLOOKUP($B112,'Indicator Data (national)'!$B$5:$Q$14,16,FALSE))/(Q$150-Q$149)*10)))</f>
        <v>9.8475005400000004</v>
      </c>
      <c r="R112" s="158">
        <f t="shared" si="27"/>
        <v>9.8475005400000004</v>
      </c>
      <c r="S112" s="3">
        <f t="shared" si="33"/>
        <v>9.9237502699999993</v>
      </c>
      <c r="T112" s="2">
        <f>IF(VLOOKUP($B112,'Indicator Data (national)'!$B$5:$BC$14,43,FALSE)="No data","x",IF(VLOOKUP($B112,'Indicator Data (national)'!$B$5:$BC$14,43,FALSE)&gt;T$150,10,IF(VLOOKUP($B112,'Indicator Data (national)'!$B$5:$BC$14,43,FALSE)&lt;T$149,0,(T$150-VLOOKUP($B112,'Indicator Data (national)'!$B$5:$BC$14,43,FALSE))/(T$150-T$149)*10)))</f>
        <v>9.6</v>
      </c>
      <c r="U112" s="3">
        <f t="shared" si="28"/>
        <v>9.6</v>
      </c>
      <c r="V112" s="5">
        <f t="shared" si="34"/>
        <v>8.9993047692263204</v>
      </c>
      <c r="W112" s="2">
        <f>IF(VLOOKUP($B112,'Indicator Data (national)'!$B$5:$AS$14,37,FALSE)="No data","x",IF(VLOOKUP($B112,'Indicator Data (national)'!$B$5:$AS$14,37,FALSE)&gt;W$150,10,IF(VLOOKUP($B112,'Indicator Data (national)'!$B$5:$AS$14,37,FALSE)&lt;W$149,0,(LOG(W$150)-LOG(VLOOKUP($B112,'Indicator Data (national)'!$B$5:$AS$14,37,FALSE)))/(LOG(W$150)-LOG(W$149))*10)))</f>
        <v>7.2608683547343569</v>
      </c>
      <c r="X112" s="2">
        <f>IF(VLOOKUP($B112,'Indicator Data (national)'!$B$5:$BB$14,45,FALSE)="No data","x",IF(VLOOKUP($B112,'Indicator Data (national)'!$B$5:$BB$14,45,FALSE)&gt;X$150,10,IF(VLOOKUP($B112,'Indicator Data (national)'!$B$5:$BB$14,45,FALSE)&lt;X$149,0,10-(X$150-VLOOKUP($B112,'Indicator Data (national)'!$B$5:$BB$14,45,FALSE))/(X$150-X$149)*10)))</f>
        <v>10</v>
      </c>
      <c r="Y112" s="2" t="str">
        <f>IF(VLOOKUP($B112,'Indicator Data (national)'!$B$5:$BB$14,46,FALSE)="No data","x",IF(VLOOKUP($B112,'Indicator Data (national)'!$B$5:$BB$14,46,FALSE)&gt;Y$150,10,IF(VLOOKUP($B112,'Indicator Data (national)'!$B$5:$BB$14,46,FALSE)&lt;Y$149,0,(Y$150-VLOOKUP($B112,'Indicator Data (national)'!$B$5:$BB$14,46,FALSE))/(Y$150-Y$149)*10)))</f>
        <v>x</v>
      </c>
      <c r="Z112" s="156">
        <f>IF(VLOOKUP($B112,'Indicator Data (national)'!$B$5:$BB$14,48,FALSE)="No data","x",VLOOKUP($B112,'Indicator Data (national)'!$B$5:$BB$14,47,FALSE)*VLOOKUP($B112,'Indicator Data (national)'!$B$5:$BB$14,48,FALSE))</f>
        <v>207.27272727272725</v>
      </c>
      <c r="AA112" s="2">
        <f t="shared" si="29"/>
        <v>0</v>
      </c>
      <c r="AB112" s="3">
        <f t="shared" si="30"/>
        <v>5.7536227849114523</v>
      </c>
      <c r="AC112" s="2" t="str">
        <f>IF(VLOOKUP($B112,'Indicator Data (national)'!$B$5:$BB$14,49,FALSE)="No data","x",IF(VLOOKUP($B112,'Indicator Data (national)'!$B$5:$BB$14,49,FALSE)&gt;AC$150,0,IF(VLOOKUP($B112,'Indicator Data (national)'!$B$5:$BB$14,49,FALSE)&lt;AC$149,10,(AC$150-VLOOKUP($B112,'Indicator Data (national)'!$B$5:$BB$14,49,FALSE))/(AC$150-AC$149)*10)))</f>
        <v>x</v>
      </c>
      <c r="AD112" s="2" t="str">
        <f>IF(VLOOKUP($B112,'Indicator Data (national)'!$B$5:$BB$14,50,FALSE)="No data","x",IF(VLOOKUP($B112,'Indicator Data (national)'!$B$5:$BB$14,50,FALSE)&gt;AD$150,0,IF(VLOOKUP($B112,'Indicator Data (national)'!$B$5:$BB$14,50,FALSE)&lt;AD$149,10,(AD$150-VLOOKUP($B112,'Indicator Data (national)'!$B$5:$BB$14,50,FALSE))/(AD$150-AD$149)*10)))</f>
        <v>x</v>
      </c>
      <c r="AE112" s="3" t="str">
        <f t="shared" si="31"/>
        <v>x</v>
      </c>
      <c r="AF112" s="2">
        <f>IF(VLOOKUP($B112,'Indicator Data (national)'!$B$5:$BB$14,51,FALSE)="No data","x",IF(VLOOKUP($B112,'Indicator Data (national)'!$B$5:$BB$14,51,FALSE)&gt;AF$150,0,IF(VLOOKUP($B112,'Indicator Data (national)'!$B$5:$BB$14,51,FALSE)&lt;AF$149,10,(AF$150-VLOOKUP($B112,'Indicator Data (national)'!$B$5:$BB$14,51,FALSE))/(AF$150-AF$149)*10)))</f>
        <v>10</v>
      </c>
      <c r="AG112" s="2">
        <f>IF(VLOOKUP($B112,'Indicator Data (national)'!$B$5:$BB$14,52,FALSE)="No data","x",IF(VLOOKUP($B112,'Indicator Data (national)'!$B$5:$BB$14,52,FALSE)&gt;AG$150,0,IF(VLOOKUP($B112,'Indicator Data (national)'!$B$5:$BB$14,52,FALSE)&lt;AG$149,10,(AG$150-VLOOKUP($B112,'Indicator Data (national)'!$B$5:$BB$14,52,FALSE))/(AG$150-AG$149)*10)))</f>
        <v>10</v>
      </c>
      <c r="AH112" s="2" t="str">
        <f>IF(VLOOKUP($B112,'Indicator Data (national)'!$B$5:$BB$14,53,FALSE)="No data","x",IF(VLOOKUP($B112,'Indicator Data (national)'!$B$5:$BB$14,53,FALSE)&gt;AH$150,0,IF(VLOOKUP($B112,'Indicator Data (national)'!$B$5:$BB$14,53,FALSE)&lt;AH$149,10,(AH$150-VLOOKUP($B112,'Indicator Data (national)'!$B$5:$BB$14,53,FALSE))/(AH$150-AH$149)*10)))</f>
        <v>x</v>
      </c>
      <c r="AI112" s="3">
        <f t="shared" si="32"/>
        <v>10</v>
      </c>
      <c r="AJ112" s="5">
        <f t="shared" si="35"/>
        <v>7.8768113924557266</v>
      </c>
    </row>
    <row r="113" spans="1:36" s="11" customFormat="1" x14ac:dyDescent="0.25">
      <c r="A113" s="16" t="s">
        <v>507</v>
      </c>
      <c r="B113" s="11" t="s">
        <v>580</v>
      </c>
      <c r="C113" s="16" t="s">
        <v>508</v>
      </c>
      <c r="D113" s="120">
        <f>(VLOOKUP($B113,'Indicator Data (national)'!$B$5:$AP$14,39,FALSE)+VLOOKUP($B113,'Indicator Data (national)'!$B$5:$AP$14,40,FALSE)+VLOOKUP($B113,'Indicator Data (national)'!$B$5:$AP$14,41,FALSE))/VLOOKUP($B113,'Indicator Data (national)'!$B$5:$AP$14,38,FALSE)*1000000</f>
        <v>0.21246133535667344</v>
      </c>
      <c r="E113" s="2">
        <f t="shared" si="21"/>
        <v>8.9376933232166333</v>
      </c>
      <c r="F113" s="3">
        <f t="shared" si="22"/>
        <v>8.9376933232166333</v>
      </c>
      <c r="G113" s="2">
        <f>IF(VLOOKUP($B113,'Indicator Data (national)'!$B$5:$AQ$14,30,FALSE)="No data","x",IF(VLOOKUP($B113,'Indicator Data (national)'!$B$5:$AQ$14,30,FALSE)&gt;G$150,10,IF(VLOOKUP($B113,'Indicator Data (national)'!$B$5:$AQ$14,30,FALSE)&lt;G$149,0,(G$150-VLOOKUP($B113,'Indicator Data (national)'!$B$5:$AQ$14,30,FALSE))/(G$150-G$149)*10)))</f>
        <v>8.5</v>
      </c>
      <c r="H113" s="2">
        <f>IF(VLOOKUP($B113,'Indicator Data (national)'!$B$5:$AQ$14,29,FALSE)="No data","x",IF(VLOOKUP($B113,'Indicator Data (national)'!$B$5:$AQ$14,29,FALSE)&gt;H$150,10,IF(VLOOKUP($B113,'Indicator Data (national)'!$B$5:$AQ$14,29,FALSE)&lt;H$149,0,(H$150-VLOOKUP($B113,'Indicator Data (national)'!$B$5:$AQ$14,29,FALSE))/(H$150-H$149)*10)))</f>
        <v>7.9709010124206543</v>
      </c>
      <c r="I113" s="3">
        <f t="shared" si="23"/>
        <v>8.2354505062103271</v>
      </c>
      <c r="J113" s="5">
        <f t="shared" si="24"/>
        <v>8.5865719147134811</v>
      </c>
      <c r="K113" s="2" t="str">
        <f>IF(VLOOKUP($B113,'Indicator Data (national)'!$B$5:$AQ$14,33,FALSE)="No data","x",IF(VLOOKUP($B113,'Indicator Data (national)'!$B$5:$AQ$14,33,FALSE)&gt;K$150,10,IF(VLOOKUP($B113,'Indicator Data (national)'!$B$5:$AQ$14,33,FALSE)&lt;K$149,0,(K$150-VLOOKUP($B113,'Indicator Data (national)'!$B$5:$AQ$14,33,FALSE))/(K$150-K$149)*10)))</f>
        <v>x</v>
      </c>
      <c r="L113" s="2">
        <f>IF(VLOOKUP($B113,'Indicator Data (national)'!$B$5:$AQ$14,34,FALSE)="No data","x",IF(VLOOKUP($B113,'Indicator Data (national)'!$B$5:$AQ$14,34,FALSE)&gt;L$150,10,IF(VLOOKUP($B113,'Indicator Data (national)'!$B$5:$AQ$14,34,FALSE)&lt;L$149,0,(L$150-VLOOKUP($B113,'Indicator Data (national)'!$B$5:$AQ$14,34,FALSE))/(L$150-L$149)*10)))</f>
        <v>7.4741640376789604</v>
      </c>
      <c r="M113" s="3">
        <f t="shared" si="25"/>
        <v>7.4741640376789604</v>
      </c>
      <c r="N113" s="2">
        <f>IF(VLOOKUP($B113,'Indicator Data (national)'!$B$5:$AS$14,44,FALSE)="No data","x",IF(VLOOKUP($B113,'Indicator Data (national)'!$B$5:$AS$14,44,FALSE)&gt;N$150,10,IF(VLOOKUP($B113,'Indicator Data (national)'!$B$5:$AS$14,44,FALSE)&lt;N$149,0,10-(N$150-VLOOKUP($B113,'Indicator Data (national)'!$B$5:$AS$14,44,FALSE))/(N$150-N$149)*10)))</f>
        <v>10</v>
      </c>
      <c r="O113" s="2">
        <f>IF(VLOOKUP($B113,'Indicator Data (national)'!$B$5:$AS$14,42,FALSE)="No data","x",IF(VLOOKUP($B113,'Indicator Data (national)'!$B$5:$AS$14,42,FALSE)&gt;O$150,0,IF(VLOOKUP($B113,'Indicator Data (national)'!$B$5:$AS$14,42,FALSE)&lt;O$149,10,(O$150-VLOOKUP($B113,'Indicator Data (national)'!$B$5:$AS$14,42,FALSE))/(O$150-O$149)*10)))</f>
        <v>10</v>
      </c>
      <c r="P113" s="158">
        <f t="shared" si="26"/>
        <v>10</v>
      </c>
      <c r="Q113" s="2">
        <f>IF(VLOOKUP($B113,'Indicator Data (national)'!$B$5:$Q$14,16,FALSE)="No data","x",IF(VLOOKUP($B113,'Indicator Data (national)'!$B$5:$Q$14,16,FALSE)&gt;Q$150,0,IF(VLOOKUP($B113,'Indicator Data (national)'!$B$5:$Q$14,16,FALSE)&lt;Q$149,10,(Q$150-VLOOKUP($B113,'Indicator Data (national)'!$B$5:$Q$14,16,FALSE))/(Q$150-Q$149)*10)))</f>
        <v>9.8475005400000004</v>
      </c>
      <c r="R113" s="158">
        <f t="shared" si="27"/>
        <v>9.8475005400000004</v>
      </c>
      <c r="S113" s="3">
        <f t="shared" si="33"/>
        <v>9.9237502699999993</v>
      </c>
      <c r="T113" s="2">
        <f>IF(VLOOKUP($B113,'Indicator Data (national)'!$B$5:$BC$14,43,FALSE)="No data","x",IF(VLOOKUP($B113,'Indicator Data (national)'!$B$5:$BC$14,43,FALSE)&gt;T$150,10,IF(VLOOKUP($B113,'Indicator Data (national)'!$B$5:$BC$14,43,FALSE)&lt;T$149,0,(T$150-VLOOKUP($B113,'Indicator Data (national)'!$B$5:$BC$14,43,FALSE))/(T$150-T$149)*10)))</f>
        <v>9.6</v>
      </c>
      <c r="U113" s="3">
        <f t="shared" si="28"/>
        <v>9.6</v>
      </c>
      <c r="V113" s="5">
        <f t="shared" si="34"/>
        <v>8.9993047692263204</v>
      </c>
      <c r="W113" s="2">
        <f>IF(VLOOKUP($B113,'Indicator Data (national)'!$B$5:$AS$14,37,FALSE)="No data","x",IF(VLOOKUP($B113,'Indicator Data (national)'!$B$5:$AS$14,37,FALSE)&gt;W$150,10,IF(VLOOKUP($B113,'Indicator Data (national)'!$B$5:$AS$14,37,FALSE)&lt;W$149,0,(LOG(W$150)-LOG(VLOOKUP($B113,'Indicator Data (national)'!$B$5:$AS$14,37,FALSE)))/(LOG(W$150)-LOG(W$149))*10)))</f>
        <v>7.2608683547343569</v>
      </c>
      <c r="X113" s="2">
        <f>IF(VLOOKUP($B113,'Indicator Data (national)'!$B$5:$BB$14,45,FALSE)="No data","x",IF(VLOOKUP($B113,'Indicator Data (national)'!$B$5:$BB$14,45,FALSE)&gt;X$150,10,IF(VLOOKUP($B113,'Indicator Data (national)'!$B$5:$BB$14,45,FALSE)&lt;X$149,0,10-(X$150-VLOOKUP($B113,'Indicator Data (national)'!$B$5:$BB$14,45,FALSE))/(X$150-X$149)*10)))</f>
        <v>10</v>
      </c>
      <c r="Y113" s="2" t="str">
        <f>IF(VLOOKUP($B113,'Indicator Data (national)'!$B$5:$BB$14,46,FALSE)="No data","x",IF(VLOOKUP($B113,'Indicator Data (national)'!$B$5:$BB$14,46,FALSE)&gt;Y$150,10,IF(VLOOKUP($B113,'Indicator Data (national)'!$B$5:$BB$14,46,FALSE)&lt;Y$149,0,(Y$150-VLOOKUP($B113,'Indicator Data (national)'!$B$5:$BB$14,46,FALSE))/(Y$150-Y$149)*10)))</f>
        <v>x</v>
      </c>
      <c r="Z113" s="156">
        <f>IF(VLOOKUP($B113,'Indicator Data (national)'!$B$5:$BB$14,48,FALSE)="No data","x",VLOOKUP($B113,'Indicator Data (national)'!$B$5:$BB$14,47,FALSE)*VLOOKUP($B113,'Indicator Data (national)'!$B$5:$BB$14,48,FALSE))</f>
        <v>207.27272727272725</v>
      </c>
      <c r="AA113" s="2">
        <f t="shared" si="29"/>
        <v>0</v>
      </c>
      <c r="AB113" s="3">
        <f t="shared" si="30"/>
        <v>5.7536227849114523</v>
      </c>
      <c r="AC113" s="2" t="str">
        <f>IF(VLOOKUP($B113,'Indicator Data (national)'!$B$5:$BB$14,49,FALSE)="No data","x",IF(VLOOKUP($B113,'Indicator Data (national)'!$B$5:$BB$14,49,FALSE)&gt;AC$150,0,IF(VLOOKUP($B113,'Indicator Data (national)'!$B$5:$BB$14,49,FALSE)&lt;AC$149,10,(AC$150-VLOOKUP($B113,'Indicator Data (national)'!$B$5:$BB$14,49,FALSE))/(AC$150-AC$149)*10)))</f>
        <v>x</v>
      </c>
      <c r="AD113" s="2" t="str">
        <f>IF(VLOOKUP($B113,'Indicator Data (national)'!$B$5:$BB$14,50,FALSE)="No data","x",IF(VLOOKUP($B113,'Indicator Data (national)'!$B$5:$BB$14,50,FALSE)&gt;AD$150,0,IF(VLOOKUP($B113,'Indicator Data (national)'!$B$5:$BB$14,50,FALSE)&lt;AD$149,10,(AD$150-VLOOKUP($B113,'Indicator Data (national)'!$B$5:$BB$14,50,FALSE))/(AD$150-AD$149)*10)))</f>
        <v>x</v>
      </c>
      <c r="AE113" s="3" t="str">
        <f t="shared" si="31"/>
        <v>x</v>
      </c>
      <c r="AF113" s="2">
        <f>IF(VLOOKUP($B113,'Indicator Data (national)'!$B$5:$BB$14,51,FALSE)="No data","x",IF(VLOOKUP($B113,'Indicator Data (national)'!$B$5:$BB$14,51,FALSE)&gt;AF$150,0,IF(VLOOKUP($B113,'Indicator Data (national)'!$B$5:$BB$14,51,FALSE)&lt;AF$149,10,(AF$150-VLOOKUP($B113,'Indicator Data (national)'!$B$5:$BB$14,51,FALSE))/(AF$150-AF$149)*10)))</f>
        <v>10</v>
      </c>
      <c r="AG113" s="2">
        <f>IF(VLOOKUP($B113,'Indicator Data (national)'!$B$5:$BB$14,52,FALSE)="No data","x",IF(VLOOKUP($B113,'Indicator Data (national)'!$B$5:$BB$14,52,FALSE)&gt;AG$150,0,IF(VLOOKUP($B113,'Indicator Data (national)'!$B$5:$BB$14,52,FALSE)&lt;AG$149,10,(AG$150-VLOOKUP($B113,'Indicator Data (national)'!$B$5:$BB$14,52,FALSE))/(AG$150-AG$149)*10)))</f>
        <v>10</v>
      </c>
      <c r="AH113" s="2" t="str">
        <f>IF(VLOOKUP($B113,'Indicator Data (national)'!$B$5:$BB$14,53,FALSE)="No data","x",IF(VLOOKUP($B113,'Indicator Data (national)'!$B$5:$BB$14,53,FALSE)&gt;AH$150,0,IF(VLOOKUP($B113,'Indicator Data (national)'!$B$5:$BB$14,53,FALSE)&lt;AH$149,10,(AH$150-VLOOKUP($B113,'Indicator Data (national)'!$B$5:$BB$14,53,FALSE))/(AH$150-AH$149)*10)))</f>
        <v>x</v>
      </c>
      <c r="AI113" s="3">
        <f t="shared" si="32"/>
        <v>10</v>
      </c>
      <c r="AJ113" s="5">
        <f t="shared" si="35"/>
        <v>7.8768113924557266</v>
      </c>
    </row>
    <row r="114" spans="1:36" s="11" customFormat="1" x14ac:dyDescent="0.25">
      <c r="A114" s="16" t="s">
        <v>509</v>
      </c>
      <c r="B114" s="11" t="s">
        <v>580</v>
      </c>
      <c r="C114" s="16" t="s">
        <v>510</v>
      </c>
      <c r="D114" s="120">
        <f>(VLOOKUP($B114,'Indicator Data (national)'!$B$5:$AP$14,39,FALSE)+VLOOKUP($B114,'Indicator Data (national)'!$B$5:$AP$14,40,FALSE)+VLOOKUP($B114,'Indicator Data (national)'!$B$5:$AP$14,41,FALSE))/VLOOKUP($B114,'Indicator Data (national)'!$B$5:$AP$14,38,FALSE)*1000000</f>
        <v>0.21246133535667344</v>
      </c>
      <c r="E114" s="2">
        <f t="shared" si="21"/>
        <v>8.9376933232166333</v>
      </c>
      <c r="F114" s="3">
        <f t="shared" si="22"/>
        <v>8.9376933232166333</v>
      </c>
      <c r="G114" s="2">
        <f>IF(VLOOKUP($B114,'Indicator Data (national)'!$B$5:$AQ$14,30,FALSE)="No data","x",IF(VLOOKUP($B114,'Indicator Data (national)'!$B$5:$AQ$14,30,FALSE)&gt;G$150,10,IF(VLOOKUP($B114,'Indicator Data (national)'!$B$5:$AQ$14,30,FALSE)&lt;G$149,0,(G$150-VLOOKUP($B114,'Indicator Data (national)'!$B$5:$AQ$14,30,FALSE))/(G$150-G$149)*10)))</f>
        <v>8.5</v>
      </c>
      <c r="H114" s="2">
        <f>IF(VLOOKUP($B114,'Indicator Data (national)'!$B$5:$AQ$14,29,FALSE)="No data","x",IF(VLOOKUP($B114,'Indicator Data (national)'!$B$5:$AQ$14,29,FALSE)&gt;H$150,10,IF(VLOOKUP($B114,'Indicator Data (national)'!$B$5:$AQ$14,29,FALSE)&lt;H$149,0,(H$150-VLOOKUP($B114,'Indicator Data (national)'!$B$5:$AQ$14,29,FALSE))/(H$150-H$149)*10)))</f>
        <v>7.9709010124206543</v>
      </c>
      <c r="I114" s="3">
        <f t="shared" si="23"/>
        <v>8.2354505062103271</v>
      </c>
      <c r="J114" s="5">
        <f t="shared" si="24"/>
        <v>8.5865719147134811</v>
      </c>
      <c r="K114" s="2" t="str">
        <f>IF(VLOOKUP($B114,'Indicator Data (national)'!$B$5:$AQ$14,33,FALSE)="No data","x",IF(VLOOKUP($B114,'Indicator Data (national)'!$B$5:$AQ$14,33,FALSE)&gt;K$150,10,IF(VLOOKUP($B114,'Indicator Data (national)'!$B$5:$AQ$14,33,FALSE)&lt;K$149,0,(K$150-VLOOKUP($B114,'Indicator Data (national)'!$B$5:$AQ$14,33,FALSE))/(K$150-K$149)*10)))</f>
        <v>x</v>
      </c>
      <c r="L114" s="2">
        <f>IF(VLOOKUP($B114,'Indicator Data (national)'!$B$5:$AQ$14,34,FALSE)="No data","x",IF(VLOOKUP($B114,'Indicator Data (national)'!$B$5:$AQ$14,34,FALSE)&gt;L$150,10,IF(VLOOKUP($B114,'Indicator Data (national)'!$B$5:$AQ$14,34,FALSE)&lt;L$149,0,(L$150-VLOOKUP($B114,'Indicator Data (national)'!$B$5:$AQ$14,34,FALSE))/(L$150-L$149)*10)))</f>
        <v>7.4741640376789604</v>
      </c>
      <c r="M114" s="3">
        <f t="shared" si="25"/>
        <v>7.4741640376789604</v>
      </c>
      <c r="N114" s="2">
        <f>IF(VLOOKUP($B114,'Indicator Data (national)'!$B$5:$AS$14,44,FALSE)="No data","x",IF(VLOOKUP($B114,'Indicator Data (national)'!$B$5:$AS$14,44,FALSE)&gt;N$150,10,IF(VLOOKUP($B114,'Indicator Data (national)'!$B$5:$AS$14,44,FALSE)&lt;N$149,0,10-(N$150-VLOOKUP($B114,'Indicator Data (national)'!$B$5:$AS$14,44,FALSE))/(N$150-N$149)*10)))</f>
        <v>10</v>
      </c>
      <c r="O114" s="2">
        <f>IF(VLOOKUP($B114,'Indicator Data (national)'!$B$5:$AS$14,42,FALSE)="No data","x",IF(VLOOKUP($B114,'Indicator Data (national)'!$B$5:$AS$14,42,FALSE)&gt;O$150,0,IF(VLOOKUP($B114,'Indicator Data (national)'!$B$5:$AS$14,42,FALSE)&lt;O$149,10,(O$150-VLOOKUP($B114,'Indicator Data (national)'!$B$5:$AS$14,42,FALSE))/(O$150-O$149)*10)))</f>
        <v>10</v>
      </c>
      <c r="P114" s="158">
        <f t="shared" si="26"/>
        <v>10</v>
      </c>
      <c r="Q114" s="2">
        <f>IF(VLOOKUP($B114,'Indicator Data (national)'!$B$5:$Q$14,16,FALSE)="No data","x",IF(VLOOKUP($B114,'Indicator Data (national)'!$B$5:$Q$14,16,FALSE)&gt;Q$150,0,IF(VLOOKUP($B114,'Indicator Data (national)'!$B$5:$Q$14,16,FALSE)&lt;Q$149,10,(Q$150-VLOOKUP($B114,'Indicator Data (national)'!$B$5:$Q$14,16,FALSE))/(Q$150-Q$149)*10)))</f>
        <v>9.8475005400000004</v>
      </c>
      <c r="R114" s="158">
        <f t="shared" si="27"/>
        <v>9.8475005400000004</v>
      </c>
      <c r="S114" s="3">
        <f t="shared" si="33"/>
        <v>9.9237502699999993</v>
      </c>
      <c r="T114" s="2">
        <f>IF(VLOOKUP($B114,'Indicator Data (national)'!$B$5:$BC$14,43,FALSE)="No data","x",IF(VLOOKUP($B114,'Indicator Data (national)'!$B$5:$BC$14,43,FALSE)&gt;T$150,10,IF(VLOOKUP($B114,'Indicator Data (national)'!$B$5:$BC$14,43,FALSE)&lt;T$149,0,(T$150-VLOOKUP($B114,'Indicator Data (national)'!$B$5:$BC$14,43,FALSE))/(T$150-T$149)*10)))</f>
        <v>9.6</v>
      </c>
      <c r="U114" s="3">
        <f t="shared" si="28"/>
        <v>9.6</v>
      </c>
      <c r="V114" s="5">
        <f t="shared" si="34"/>
        <v>8.9993047692263204</v>
      </c>
      <c r="W114" s="2">
        <f>IF(VLOOKUP($B114,'Indicator Data (national)'!$B$5:$AS$14,37,FALSE)="No data","x",IF(VLOOKUP($B114,'Indicator Data (national)'!$B$5:$AS$14,37,FALSE)&gt;W$150,10,IF(VLOOKUP($B114,'Indicator Data (national)'!$B$5:$AS$14,37,FALSE)&lt;W$149,0,(LOG(W$150)-LOG(VLOOKUP($B114,'Indicator Data (national)'!$B$5:$AS$14,37,FALSE)))/(LOG(W$150)-LOG(W$149))*10)))</f>
        <v>7.2608683547343569</v>
      </c>
      <c r="X114" s="2">
        <f>IF(VLOOKUP($B114,'Indicator Data (national)'!$B$5:$BB$14,45,FALSE)="No data","x",IF(VLOOKUP($B114,'Indicator Data (national)'!$B$5:$BB$14,45,FALSE)&gt;X$150,10,IF(VLOOKUP($B114,'Indicator Data (national)'!$B$5:$BB$14,45,FALSE)&lt;X$149,0,10-(X$150-VLOOKUP($B114,'Indicator Data (national)'!$B$5:$BB$14,45,FALSE))/(X$150-X$149)*10)))</f>
        <v>10</v>
      </c>
      <c r="Y114" s="2" t="str">
        <f>IF(VLOOKUP($B114,'Indicator Data (national)'!$B$5:$BB$14,46,FALSE)="No data","x",IF(VLOOKUP($B114,'Indicator Data (national)'!$B$5:$BB$14,46,FALSE)&gt;Y$150,10,IF(VLOOKUP($B114,'Indicator Data (national)'!$B$5:$BB$14,46,FALSE)&lt;Y$149,0,(Y$150-VLOOKUP($B114,'Indicator Data (national)'!$B$5:$BB$14,46,FALSE))/(Y$150-Y$149)*10)))</f>
        <v>x</v>
      </c>
      <c r="Z114" s="156">
        <f>IF(VLOOKUP($B114,'Indicator Data (national)'!$B$5:$BB$14,48,FALSE)="No data","x",VLOOKUP($B114,'Indicator Data (national)'!$B$5:$BB$14,47,FALSE)*VLOOKUP($B114,'Indicator Data (national)'!$B$5:$BB$14,48,FALSE))</f>
        <v>207.27272727272725</v>
      </c>
      <c r="AA114" s="2">
        <f t="shared" si="29"/>
        <v>0</v>
      </c>
      <c r="AB114" s="3">
        <f t="shared" si="30"/>
        <v>5.7536227849114523</v>
      </c>
      <c r="AC114" s="2" t="str">
        <f>IF(VLOOKUP($B114,'Indicator Data (national)'!$B$5:$BB$14,49,FALSE)="No data","x",IF(VLOOKUP($B114,'Indicator Data (national)'!$B$5:$BB$14,49,FALSE)&gt;AC$150,0,IF(VLOOKUP($B114,'Indicator Data (national)'!$B$5:$BB$14,49,FALSE)&lt;AC$149,10,(AC$150-VLOOKUP($B114,'Indicator Data (national)'!$B$5:$BB$14,49,FALSE))/(AC$150-AC$149)*10)))</f>
        <v>x</v>
      </c>
      <c r="AD114" s="2" t="str">
        <f>IF(VLOOKUP($B114,'Indicator Data (national)'!$B$5:$BB$14,50,FALSE)="No data","x",IF(VLOOKUP($B114,'Indicator Data (national)'!$B$5:$BB$14,50,FALSE)&gt;AD$150,0,IF(VLOOKUP($B114,'Indicator Data (national)'!$B$5:$BB$14,50,FALSE)&lt;AD$149,10,(AD$150-VLOOKUP($B114,'Indicator Data (national)'!$B$5:$BB$14,50,FALSE))/(AD$150-AD$149)*10)))</f>
        <v>x</v>
      </c>
      <c r="AE114" s="3" t="str">
        <f t="shared" si="31"/>
        <v>x</v>
      </c>
      <c r="AF114" s="2">
        <f>IF(VLOOKUP($B114,'Indicator Data (national)'!$B$5:$BB$14,51,FALSE)="No data","x",IF(VLOOKUP($B114,'Indicator Data (national)'!$B$5:$BB$14,51,FALSE)&gt;AF$150,0,IF(VLOOKUP($B114,'Indicator Data (national)'!$B$5:$BB$14,51,FALSE)&lt;AF$149,10,(AF$150-VLOOKUP($B114,'Indicator Data (national)'!$B$5:$BB$14,51,FALSE))/(AF$150-AF$149)*10)))</f>
        <v>10</v>
      </c>
      <c r="AG114" s="2">
        <f>IF(VLOOKUP($B114,'Indicator Data (national)'!$B$5:$BB$14,52,FALSE)="No data","x",IF(VLOOKUP($B114,'Indicator Data (national)'!$B$5:$BB$14,52,FALSE)&gt;AG$150,0,IF(VLOOKUP($B114,'Indicator Data (national)'!$B$5:$BB$14,52,FALSE)&lt;AG$149,10,(AG$150-VLOOKUP($B114,'Indicator Data (national)'!$B$5:$BB$14,52,FALSE))/(AG$150-AG$149)*10)))</f>
        <v>10</v>
      </c>
      <c r="AH114" s="2" t="str">
        <f>IF(VLOOKUP($B114,'Indicator Data (national)'!$B$5:$BB$14,53,FALSE)="No data","x",IF(VLOOKUP($B114,'Indicator Data (national)'!$B$5:$BB$14,53,FALSE)&gt;AH$150,0,IF(VLOOKUP($B114,'Indicator Data (national)'!$B$5:$BB$14,53,FALSE)&lt;AH$149,10,(AH$150-VLOOKUP($B114,'Indicator Data (national)'!$B$5:$BB$14,53,FALSE))/(AH$150-AH$149)*10)))</f>
        <v>x</v>
      </c>
      <c r="AI114" s="3">
        <f t="shared" si="32"/>
        <v>10</v>
      </c>
      <c r="AJ114" s="5">
        <f t="shared" si="35"/>
        <v>7.8768113924557266</v>
      </c>
    </row>
    <row r="115" spans="1:36" s="11" customFormat="1" x14ac:dyDescent="0.25">
      <c r="A115" s="16" t="s">
        <v>511</v>
      </c>
      <c r="B115" s="11" t="s">
        <v>580</v>
      </c>
      <c r="C115" s="16" t="s">
        <v>512</v>
      </c>
      <c r="D115" s="120">
        <f>(VLOOKUP($B115,'Indicator Data (national)'!$B$5:$AP$14,39,FALSE)+VLOOKUP($B115,'Indicator Data (national)'!$B$5:$AP$14,40,FALSE)+VLOOKUP($B115,'Indicator Data (national)'!$B$5:$AP$14,41,FALSE))/VLOOKUP($B115,'Indicator Data (national)'!$B$5:$AP$14,38,FALSE)*1000000</f>
        <v>0.21246133535667344</v>
      </c>
      <c r="E115" s="2">
        <f t="shared" si="21"/>
        <v>8.9376933232166333</v>
      </c>
      <c r="F115" s="3">
        <f t="shared" si="22"/>
        <v>8.9376933232166333</v>
      </c>
      <c r="G115" s="2">
        <f>IF(VLOOKUP($B115,'Indicator Data (national)'!$B$5:$AQ$14,30,FALSE)="No data","x",IF(VLOOKUP($B115,'Indicator Data (national)'!$B$5:$AQ$14,30,FALSE)&gt;G$150,10,IF(VLOOKUP($B115,'Indicator Data (national)'!$B$5:$AQ$14,30,FALSE)&lt;G$149,0,(G$150-VLOOKUP($B115,'Indicator Data (national)'!$B$5:$AQ$14,30,FALSE))/(G$150-G$149)*10)))</f>
        <v>8.5</v>
      </c>
      <c r="H115" s="2">
        <f>IF(VLOOKUP($B115,'Indicator Data (national)'!$B$5:$AQ$14,29,FALSE)="No data","x",IF(VLOOKUP($B115,'Indicator Data (national)'!$B$5:$AQ$14,29,FALSE)&gt;H$150,10,IF(VLOOKUP($B115,'Indicator Data (national)'!$B$5:$AQ$14,29,FALSE)&lt;H$149,0,(H$150-VLOOKUP($B115,'Indicator Data (national)'!$B$5:$AQ$14,29,FALSE))/(H$150-H$149)*10)))</f>
        <v>7.9709010124206543</v>
      </c>
      <c r="I115" s="3">
        <f t="shared" si="23"/>
        <v>8.2354505062103271</v>
      </c>
      <c r="J115" s="5">
        <f t="shared" si="24"/>
        <v>8.5865719147134811</v>
      </c>
      <c r="K115" s="2" t="str">
        <f>IF(VLOOKUP($B115,'Indicator Data (national)'!$B$5:$AQ$14,33,FALSE)="No data","x",IF(VLOOKUP($B115,'Indicator Data (national)'!$B$5:$AQ$14,33,FALSE)&gt;K$150,10,IF(VLOOKUP($B115,'Indicator Data (national)'!$B$5:$AQ$14,33,FALSE)&lt;K$149,0,(K$150-VLOOKUP($B115,'Indicator Data (national)'!$B$5:$AQ$14,33,FALSE))/(K$150-K$149)*10)))</f>
        <v>x</v>
      </c>
      <c r="L115" s="2">
        <f>IF(VLOOKUP($B115,'Indicator Data (national)'!$B$5:$AQ$14,34,FALSE)="No data","x",IF(VLOOKUP($B115,'Indicator Data (national)'!$B$5:$AQ$14,34,FALSE)&gt;L$150,10,IF(VLOOKUP($B115,'Indicator Data (national)'!$B$5:$AQ$14,34,FALSE)&lt;L$149,0,(L$150-VLOOKUP($B115,'Indicator Data (national)'!$B$5:$AQ$14,34,FALSE))/(L$150-L$149)*10)))</f>
        <v>7.4741640376789604</v>
      </c>
      <c r="M115" s="3">
        <f t="shared" si="25"/>
        <v>7.4741640376789604</v>
      </c>
      <c r="N115" s="2">
        <f>IF(VLOOKUP($B115,'Indicator Data (national)'!$B$5:$AS$14,44,FALSE)="No data","x",IF(VLOOKUP($B115,'Indicator Data (national)'!$B$5:$AS$14,44,FALSE)&gt;N$150,10,IF(VLOOKUP($B115,'Indicator Data (national)'!$B$5:$AS$14,44,FALSE)&lt;N$149,0,10-(N$150-VLOOKUP($B115,'Indicator Data (national)'!$B$5:$AS$14,44,FALSE))/(N$150-N$149)*10)))</f>
        <v>10</v>
      </c>
      <c r="O115" s="2">
        <f>IF(VLOOKUP($B115,'Indicator Data (national)'!$B$5:$AS$14,42,FALSE)="No data","x",IF(VLOOKUP($B115,'Indicator Data (national)'!$B$5:$AS$14,42,FALSE)&gt;O$150,0,IF(VLOOKUP($B115,'Indicator Data (national)'!$B$5:$AS$14,42,FALSE)&lt;O$149,10,(O$150-VLOOKUP($B115,'Indicator Data (national)'!$B$5:$AS$14,42,FALSE))/(O$150-O$149)*10)))</f>
        <v>10</v>
      </c>
      <c r="P115" s="158">
        <f t="shared" si="26"/>
        <v>10</v>
      </c>
      <c r="Q115" s="2">
        <f>IF(VLOOKUP($B115,'Indicator Data (national)'!$B$5:$Q$14,16,FALSE)="No data","x",IF(VLOOKUP($B115,'Indicator Data (national)'!$B$5:$Q$14,16,FALSE)&gt;Q$150,0,IF(VLOOKUP($B115,'Indicator Data (national)'!$B$5:$Q$14,16,FALSE)&lt;Q$149,10,(Q$150-VLOOKUP($B115,'Indicator Data (national)'!$B$5:$Q$14,16,FALSE))/(Q$150-Q$149)*10)))</f>
        <v>9.8475005400000004</v>
      </c>
      <c r="R115" s="158">
        <f t="shared" si="27"/>
        <v>9.8475005400000004</v>
      </c>
      <c r="S115" s="3">
        <f t="shared" si="33"/>
        <v>9.9237502699999993</v>
      </c>
      <c r="T115" s="2">
        <f>IF(VLOOKUP($B115,'Indicator Data (national)'!$B$5:$BC$14,43,FALSE)="No data","x",IF(VLOOKUP($B115,'Indicator Data (national)'!$B$5:$BC$14,43,FALSE)&gt;T$150,10,IF(VLOOKUP($B115,'Indicator Data (national)'!$B$5:$BC$14,43,FALSE)&lt;T$149,0,(T$150-VLOOKUP($B115,'Indicator Data (national)'!$B$5:$BC$14,43,FALSE))/(T$150-T$149)*10)))</f>
        <v>9.6</v>
      </c>
      <c r="U115" s="3">
        <f t="shared" si="28"/>
        <v>9.6</v>
      </c>
      <c r="V115" s="5">
        <f t="shared" si="34"/>
        <v>8.9993047692263204</v>
      </c>
      <c r="W115" s="2">
        <f>IF(VLOOKUP($B115,'Indicator Data (national)'!$B$5:$AS$14,37,FALSE)="No data","x",IF(VLOOKUP($B115,'Indicator Data (national)'!$B$5:$AS$14,37,FALSE)&gt;W$150,10,IF(VLOOKUP($B115,'Indicator Data (national)'!$B$5:$AS$14,37,FALSE)&lt;W$149,0,(LOG(W$150)-LOG(VLOOKUP($B115,'Indicator Data (national)'!$B$5:$AS$14,37,FALSE)))/(LOG(W$150)-LOG(W$149))*10)))</f>
        <v>7.2608683547343569</v>
      </c>
      <c r="X115" s="2">
        <f>IF(VLOOKUP($B115,'Indicator Data (national)'!$B$5:$BB$14,45,FALSE)="No data","x",IF(VLOOKUP($B115,'Indicator Data (national)'!$B$5:$BB$14,45,FALSE)&gt;X$150,10,IF(VLOOKUP($B115,'Indicator Data (national)'!$B$5:$BB$14,45,FALSE)&lt;X$149,0,10-(X$150-VLOOKUP($B115,'Indicator Data (national)'!$B$5:$BB$14,45,FALSE))/(X$150-X$149)*10)))</f>
        <v>10</v>
      </c>
      <c r="Y115" s="2" t="str">
        <f>IF(VLOOKUP($B115,'Indicator Data (national)'!$B$5:$BB$14,46,FALSE)="No data","x",IF(VLOOKUP($B115,'Indicator Data (national)'!$B$5:$BB$14,46,FALSE)&gt;Y$150,10,IF(VLOOKUP($B115,'Indicator Data (national)'!$B$5:$BB$14,46,FALSE)&lt;Y$149,0,(Y$150-VLOOKUP($B115,'Indicator Data (national)'!$B$5:$BB$14,46,FALSE))/(Y$150-Y$149)*10)))</f>
        <v>x</v>
      </c>
      <c r="Z115" s="156">
        <f>IF(VLOOKUP($B115,'Indicator Data (national)'!$B$5:$BB$14,48,FALSE)="No data","x",VLOOKUP($B115,'Indicator Data (national)'!$B$5:$BB$14,47,FALSE)*VLOOKUP($B115,'Indicator Data (national)'!$B$5:$BB$14,48,FALSE))</f>
        <v>207.27272727272725</v>
      </c>
      <c r="AA115" s="2">
        <f t="shared" si="29"/>
        <v>0</v>
      </c>
      <c r="AB115" s="3">
        <f t="shared" si="30"/>
        <v>5.7536227849114523</v>
      </c>
      <c r="AC115" s="2" t="str">
        <f>IF(VLOOKUP($B115,'Indicator Data (national)'!$B$5:$BB$14,49,FALSE)="No data","x",IF(VLOOKUP($B115,'Indicator Data (national)'!$B$5:$BB$14,49,FALSE)&gt;AC$150,0,IF(VLOOKUP($B115,'Indicator Data (national)'!$B$5:$BB$14,49,FALSE)&lt;AC$149,10,(AC$150-VLOOKUP($B115,'Indicator Data (national)'!$B$5:$BB$14,49,FALSE))/(AC$150-AC$149)*10)))</f>
        <v>x</v>
      </c>
      <c r="AD115" s="2" t="str">
        <f>IF(VLOOKUP($B115,'Indicator Data (national)'!$B$5:$BB$14,50,FALSE)="No data","x",IF(VLOOKUP($B115,'Indicator Data (national)'!$B$5:$BB$14,50,FALSE)&gt;AD$150,0,IF(VLOOKUP($B115,'Indicator Data (national)'!$B$5:$BB$14,50,FALSE)&lt;AD$149,10,(AD$150-VLOOKUP($B115,'Indicator Data (national)'!$B$5:$BB$14,50,FALSE))/(AD$150-AD$149)*10)))</f>
        <v>x</v>
      </c>
      <c r="AE115" s="3" t="str">
        <f t="shared" si="31"/>
        <v>x</v>
      </c>
      <c r="AF115" s="2">
        <f>IF(VLOOKUP($B115,'Indicator Data (national)'!$B$5:$BB$14,51,FALSE)="No data","x",IF(VLOOKUP($B115,'Indicator Data (national)'!$B$5:$BB$14,51,FALSE)&gt;AF$150,0,IF(VLOOKUP($B115,'Indicator Data (national)'!$B$5:$BB$14,51,FALSE)&lt;AF$149,10,(AF$150-VLOOKUP($B115,'Indicator Data (national)'!$B$5:$BB$14,51,FALSE))/(AF$150-AF$149)*10)))</f>
        <v>10</v>
      </c>
      <c r="AG115" s="2">
        <f>IF(VLOOKUP($B115,'Indicator Data (national)'!$B$5:$BB$14,52,FALSE)="No data","x",IF(VLOOKUP($B115,'Indicator Data (national)'!$B$5:$BB$14,52,FALSE)&gt;AG$150,0,IF(VLOOKUP($B115,'Indicator Data (national)'!$B$5:$BB$14,52,FALSE)&lt;AG$149,10,(AG$150-VLOOKUP($B115,'Indicator Data (national)'!$B$5:$BB$14,52,FALSE))/(AG$150-AG$149)*10)))</f>
        <v>10</v>
      </c>
      <c r="AH115" s="2" t="str">
        <f>IF(VLOOKUP($B115,'Indicator Data (national)'!$B$5:$BB$14,53,FALSE)="No data","x",IF(VLOOKUP($B115,'Indicator Data (national)'!$B$5:$BB$14,53,FALSE)&gt;AH$150,0,IF(VLOOKUP($B115,'Indicator Data (national)'!$B$5:$BB$14,53,FALSE)&lt;AH$149,10,(AH$150-VLOOKUP($B115,'Indicator Data (national)'!$B$5:$BB$14,53,FALSE))/(AH$150-AH$149)*10)))</f>
        <v>x</v>
      </c>
      <c r="AI115" s="3">
        <f t="shared" si="32"/>
        <v>10</v>
      </c>
      <c r="AJ115" s="5">
        <f t="shared" si="35"/>
        <v>7.8768113924557266</v>
      </c>
    </row>
    <row r="116" spans="1:36" s="11" customFormat="1" x14ac:dyDescent="0.25">
      <c r="A116" s="16" t="s">
        <v>513</v>
      </c>
      <c r="B116" s="11" t="s">
        <v>580</v>
      </c>
      <c r="C116" s="16" t="s">
        <v>514</v>
      </c>
      <c r="D116" s="120">
        <f>(VLOOKUP($B116,'Indicator Data (national)'!$B$5:$AP$14,39,FALSE)+VLOOKUP($B116,'Indicator Data (national)'!$B$5:$AP$14,40,FALSE)+VLOOKUP($B116,'Indicator Data (national)'!$B$5:$AP$14,41,FALSE))/VLOOKUP($B116,'Indicator Data (national)'!$B$5:$AP$14,38,FALSE)*1000000</f>
        <v>0.21246133535667344</v>
      </c>
      <c r="E116" s="2">
        <f t="shared" si="21"/>
        <v>8.9376933232166333</v>
      </c>
      <c r="F116" s="3">
        <f t="shared" si="22"/>
        <v>8.9376933232166333</v>
      </c>
      <c r="G116" s="2">
        <f>IF(VLOOKUP($B116,'Indicator Data (national)'!$B$5:$AQ$14,30,FALSE)="No data","x",IF(VLOOKUP($B116,'Indicator Data (national)'!$B$5:$AQ$14,30,FALSE)&gt;G$150,10,IF(VLOOKUP($B116,'Indicator Data (national)'!$B$5:$AQ$14,30,FALSE)&lt;G$149,0,(G$150-VLOOKUP($B116,'Indicator Data (national)'!$B$5:$AQ$14,30,FALSE))/(G$150-G$149)*10)))</f>
        <v>8.5</v>
      </c>
      <c r="H116" s="2">
        <f>IF(VLOOKUP($B116,'Indicator Data (national)'!$B$5:$AQ$14,29,FALSE)="No data","x",IF(VLOOKUP($B116,'Indicator Data (national)'!$B$5:$AQ$14,29,FALSE)&gt;H$150,10,IF(VLOOKUP($B116,'Indicator Data (national)'!$B$5:$AQ$14,29,FALSE)&lt;H$149,0,(H$150-VLOOKUP($B116,'Indicator Data (national)'!$B$5:$AQ$14,29,FALSE))/(H$150-H$149)*10)))</f>
        <v>7.9709010124206543</v>
      </c>
      <c r="I116" s="3">
        <f t="shared" si="23"/>
        <v>8.2354505062103271</v>
      </c>
      <c r="J116" s="5">
        <f t="shared" si="24"/>
        <v>8.5865719147134811</v>
      </c>
      <c r="K116" s="2" t="str">
        <f>IF(VLOOKUP($B116,'Indicator Data (national)'!$B$5:$AQ$14,33,FALSE)="No data","x",IF(VLOOKUP($B116,'Indicator Data (national)'!$B$5:$AQ$14,33,FALSE)&gt;K$150,10,IF(VLOOKUP($B116,'Indicator Data (national)'!$B$5:$AQ$14,33,FALSE)&lt;K$149,0,(K$150-VLOOKUP($B116,'Indicator Data (national)'!$B$5:$AQ$14,33,FALSE))/(K$150-K$149)*10)))</f>
        <v>x</v>
      </c>
      <c r="L116" s="2">
        <f>IF(VLOOKUP($B116,'Indicator Data (national)'!$B$5:$AQ$14,34,FALSE)="No data","x",IF(VLOOKUP($B116,'Indicator Data (national)'!$B$5:$AQ$14,34,FALSE)&gt;L$150,10,IF(VLOOKUP($B116,'Indicator Data (national)'!$B$5:$AQ$14,34,FALSE)&lt;L$149,0,(L$150-VLOOKUP($B116,'Indicator Data (national)'!$B$5:$AQ$14,34,FALSE))/(L$150-L$149)*10)))</f>
        <v>7.4741640376789604</v>
      </c>
      <c r="M116" s="3">
        <f t="shared" si="25"/>
        <v>7.4741640376789604</v>
      </c>
      <c r="N116" s="2">
        <f>IF(VLOOKUP($B116,'Indicator Data (national)'!$B$5:$AS$14,44,FALSE)="No data","x",IF(VLOOKUP($B116,'Indicator Data (national)'!$B$5:$AS$14,44,FALSE)&gt;N$150,10,IF(VLOOKUP($B116,'Indicator Data (national)'!$B$5:$AS$14,44,FALSE)&lt;N$149,0,10-(N$150-VLOOKUP($B116,'Indicator Data (national)'!$B$5:$AS$14,44,FALSE))/(N$150-N$149)*10)))</f>
        <v>10</v>
      </c>
      <c r="O116" s="2">
        <f>IF(VLOOKUP($B116,'Indicator Data (national)'!$B$5:$AS$14,42,FALSE)="No data","x",IF(VLOOKUP($B116,'Indicator Data (national)'!$B$5:$AS$14,42,FALSE)&gt;O$150,0,IF(VLOOKUP($B116,'Indicator Data (national)'!$B$5:$AS$14,42,FALSE)&lt;O$149,10,(O$150-VLOOKUP($B116,'Indicator Data (national)'!$B$5:$AS$14,42,FALSE))/(O$150-O$149)*10)))</f>
        <v>10</v>
      </c>
      <c r="P116" s="158">
        <f t="shared" si="26"/>
        <v>10</v>
      </c>
      <c r="Q116" s="2">
        <f>IF(VLOOKUP($B116,'Indicator Data (national)'!$B$5:$Q$14,16,FALSE)="No data","x",IF(VLOOKUP($B116,'Indicator Data (national)'!$B$5:$Q$14,16,FALSE)&gt;Q$150,0,IF(VLOOKUP($B116,'Indicator Data (national)'!$B$5:$Q$14,16,FALSE)&lt;Q$149,10,(Q$150-VLOOKUP($B116,'Indicator Data (national)'!$B$5:$Q$14,16,FALSE))/(Q$150-Q$149)*10)))</f>
        <v>9.8475005400000004</v>
      </c>
      <c r="R116" s="158">
        <f t="shared" si="27"/>
        <v>9.8475005400000004</v>
      </c>
      <c r="S116" s="3">
        <f t="shared" si="33"/>
        <v>9.9237502699999993</v>
      </c>
      <c r="T116" s="2">
        <f>IF(VLOOKUP($B116,'Indicator Data (national)'!$B$5:$BC$14,43,FALSE)="No data","x",IF(VLOOKUP($B116,'Indicator Data (national)'!$B$5:$BC$14,43,FALSE)&gt;T$150,10,IF(VLOOKUP($B116,'Indicator Data (national)'!$B$5:$BC$14,43,FALSE)&lt;T$149,0,(T$150-VLOOKUP($B116,'Indicator Data (national)'!$B$5:$BC$14,43,FALSE))/(T$150-T$149)*10)))</f>
        <v>9.6</v>
      </c>
      <c r="U116" s="3">
        <f t="shared" si="28"/>
        <v>9.6</v>
      </c>
      <c r="V116" s="5">
        <f t="shared" si="34"/>
        <v>8.9993047692263204</v>
      </c>
      <c r="W116" s="2">
        <f>IF(VLOOKUP($B116,'Indicator Data (national)'!$B$5:$AS$14,37,FALSE)="No data","x",IF(VLOOKUP($B116,'Indicator Data (national)'!$B$5:$AS$14,37,FALSE)&gt;W$150,10,IF(VLOOKUP($B116,'Indicator Data (national)'!$B$5:$AS$14,37,FALSE)&lt;W$149,0,(LOG(W$150)-LOG(VLOOKUP($B116,'Indicator Data (national)'!$B$5:$AS$14,37,FALSE)))/(LOG(W$150)-LOG(W$149))*10)))</f>
        <v>7.2608683547343569</v>
      </c>
      <c r="X116" s="2">
        <f>IF(VLOOKUP($B116,'Indicator Data (national)'!$B$5:$BB$14,45,FALSE)="No data","x",IF(VLOOKUP($B116,'Indicator Data (national)'!$B$5:$BB$14,45,FALSE)&gt;X$150,10,IF(VLOOKUP($B116,'Indicator Data (national)'!$B$5:$BB$14,45,FALSE)&lt;X$149,0,10-(X$150-VLOOKUP($B116,'Indicator Data (national)'!$B$5:$BB$14,45,FALSE))/(X$150-X$149)*10)))</f>
        <v>10</v>
      </c>
      <c r="Y116" s="2" t="str">
        <f>IF(VLOOKUP($B116,'Indicator Data (national)'!$B$5:$BB$14,46,FALSE)="No data","x",IF(VLOOKUP($B116,'Indicator Data (national)'!$B$5:$BB$14,46,FALSE)&gt;Y$150,10,IF(VLOOKUP($B116,'Indicator Data (national)'!$B$5:$BB$14,46,FALSE)&lt;Y$149,0,(Y$150-VLOOKUP($B116,'Indicator Data (national)'!$B$5:$BB$14,46,FALSE))/(Y$150-Y$149)*10)))</f>
        <v>x</v>
      </c>
      <c r="Z116" s="156">
        <f>IF(VLOOKUP($B116,'Indicator Data (national)'!$B$5:$BB$14,48,FALSE)="No data","x",VLOOKUP($B116,'Indicator Data (national)'!$B$5:$BB$14,47,FALSE)*VLOOKUP($B116,'Indicator Data (national)'!$B$5:$BB$14,48,FALSE))</f>
        <v>207.27272727272725</v>
      </c>
      <c r="AA116" s="2">
        <f t="shared" si="29"/>
        <v>0</v>
      </c>
      <c r="AB116" s="3">
        <f t="shared" si="30"/>
        <v>5.7536227849114523</v>
      </c>
      <c r="AC116" s="2" t="str">
        <f>IF(VLOOKUP($B116,'Indicator Data (national)'!$B$5:$BB$14,49,FALSE)="No data","x",IF(VLOOKUP($B116,'Indicator Data (national)'!$B$5:$BB$14,49,FALSE)&gt;AC$150,0,IF(VLOOKUP($B116,'Indicator Data (national)'!$B$5:$BB$14,49,FALSE)&lt;AC$149,10,(AC$150-VLOOKUP($B116,'Indicator Data (national)'!$B$5:$BB$14,49,FALSE))/(AC$150-AC$149)*10)))</f>
        <v>x</v>
      </c>
      <c r="AD116" s="2" t="str">
        <f>IF(VLOOKUP($B116,'Indicator Data (national)'!$B$5:$BB$14,50,FALSE)="No data","x",IF(VLOOKUP($B116,'Indicator Data (national)'!$B$5:$BB$14,50,FALSE)&gt;AD$150,0,IF(VLOOKUP($B116,'Indicator Data (national)'!$B$5:$BB$14,50,FALSE)&lt;AD$149,10,(AD$150-VLOOKUP($B116,'Indicator Data (national)'!$B$5:$BB$14,50,FALSE))/(AD$150-AD$149)*10)))</f>
        <v>x</v>
      </c>
      <c r="AE116" s="3" t="str">
        <f t="shared" si="31"/>
        <v>x</v>
      </c>
      <c r="AF116" s="2">
        <f>IF(VLOOKUP($B116,'Indicator Data (national)'!$B$5:$BB$14,51,FALSE)="No data","x",IF(VLOOKUP($B116,'Indicator Data (national)'!$B$5:$BB$14,51,FALSE)&gt;AF$150,0,IF(VLOOKUP($B116,'Indicator Data (national)'!$B$5:$BB$14,51,FALSE)&lt;AF$149,10,(AF$150-VLOOKUP($B116,'Indicator Data (national)'!$B$5:$BB$14,51,FALSE))/(AF$150-AF$149)*10)))</f>
        <v>10</v>
      </c>
      <c r="AG116" s="2">
        <f>IF(VLOOKUP($B116,'Indicator Data (national)'!$B$5:$BB$14,52,FALSE)="No data","x",IF(VLOOKUP($B116,'Indicator Data (national)'!$B$5:$BB$14,52,FALSE)&gt;AG$150,0,IF(VLOOKUP($B116,'Indicator Data (national)'!$B$5:$BB$14,52,FALSE)&lt;AG$149,10,(AG$150-VLOOKUP($B116,'Indicator Data (national)'!$B$5:$BB$14,52,FALSE))/(AG$150-AG$149)*10)))</f>
        <v>10</v>
      </c>
      <c r="AH116" s="2" t="str">
        <f>IF(VLOOKUP($B116,'Indicator Data (national)'!$B$5:$BB$14,53,FALSE)="No data","x",IF(VLOOKUP($B116,'Indicator Data (national)'!$B$5:$BB$14,53,FALSE)&gt;AH$150,0,IF(VLOOKUP($B116,'Indicator Data (national)'!$B$5:$BB$14,53,FALSE)&lt;AH$149,10,(AH$150-VLOOKUP($B116,'Indicator Data (national)'!$B$5:$BB$14,53,FALSE))/(AH$150-AH$149)*10)))</f>
        <v>x</v>
      </c>
      <c r="AI116" s="3">
        <f t="shared" si="32"/>
        <v>10</v>
      </c>
      <c r="AJ116" s="5">
        <f t="shared" si="35"/>
        <v>7.8768113924557266</v>
      </c>
    </row>
    <row r="117" spans="1:36" s="11" customFormat="1" x14ac:dyDescent="0.25">
      <c r="A117" s="16" t="s">
        <v>515</v>
      </c>
      <c r="B117" s="11" t="s">
        <v>580</v>
      </c>
      <c r="C117" s="16" t="s">
        <v>516</v>
      </c>
      <c r="D117" s="120">
        <f>(VLOOKUP($B117,'Indicator Data (national)'!$B$5:$AP$14,39,FALSE)+VLOOKUP($B117,'Indicator Data (national)'!$B$5:$AP$14,40,FALSE)+VLOOKUP($B117,'Indicator Data (national)'!$B$5:$AP$14,41,FALSE))/VLOOKUP($B117,'Indicator Data (national)'!$B$5:$AP$14,38,FALSE)*1000000</f>
        <v>0.21246133535667344</v>
      </c>
      <c r="E117" s="2">
        <f t="shared" si="21"/>
        <v>8.9376933232166333</v>
      </c>
      <c r="F117" s="3">
        <f t="shared" si="22"/>
        <v>8.9376933232166333</v>
      </c>
      <c r="G117" s="2">
        <f>IF(VLOOKUP($B117,'Indicator Data (national)'!$B$5:$AQ$14,30,FALSE)="No data","x",IF(VLOOKUP($B117,'Indicator Data (national)'!$B$5:$AQ$14,30,FALSE)&gt;G$150,10,IF(VLOOKUP($B117,'Indicator Data (national)'!$B$5:$AQ$14,30,FALSE)&lt;G$149,0,(G$150-VLOOKUP($B117,'Indicator Data (national)'!$B$5:$AQ$14,30,FALSE))/(G$150-G$149)*10)))</f>
        <v>8.5</v>
      </c>
      <c r="H117" s="2">
        <f>IF(VLOOKUP($B117,'Indicator Data (national)'!$B$5:$AQ$14,29,FALSE)="No data","x",IF(VLOOKUP($B117,'Indicator Data (national)'!$B$5:$AQ$14,29,FALSE)&gt;H$150,10,IF(VLOOKUP($B117,'Indicator Data (national)'!$B$5:$AQ$14,29,FALSE)&lt;H$149,0,(H$150-VLOOKUP($B117,'Indicator Data (national)'!$B$5:$AQ$14,29,FALSE))/(H$150-H$149)*10)))</f>
        <v>7.9709010124206543</v>
      </c>
      <c r="I117" s="3">
        <f t="shared" si="23"/>
        <v>8.2354505062103271</v>
      </c>
      <c r="J117" s="5">
        <f t="shared" si="24"/>
        <v>8.5865719147134811</v>
      </c>
      <c r="K117" s="2" t="str">
        <f>IF(VLOOKUP($B117,'Indicator Data (national)'!$B$5:$AQ$14,33,FALSE)="No data","x",IF(VLOOKUP($B117,'Indicator Data (national)'!$B$5:$AQ$14,33,FALSE)&gt;K$150,10,IF(VLOOKUP($B117,'Indicator Data (national)'!$B$5:$AQ$14,33,FALSE)&lt;K$149,0,(K$150-VLOOKUP($B117,'Indicator Data (national)'!$B$5:$AQ$14,33,FALSE))/(K$150-K$149)*10)))</f>
        <v>x</v>
      </c>
      <c r="L117" s="2">
        <f>IF(VLOOKUP($B117,'Indicator Data (national)'!$B$5:$AQ$14,34,FALSE)="No data","x",IF(VLOOKUP($B117,'Indicator Data (national)'!$B$5:$AQ$14,34,FALSE)&gt;L$150,10,IF(VLOOKUP($B117,'Indicator Data (national)'!$B$5:$AQ$14,34,FALSE)&lt;L$149,0,(L$150-VLOOKUP($B117,'Indicator Data (national)'!$B$5:$AQ$14,34,FALSE))/(L$150-L$149)*10)))</f>
        <v>7.4741640376789604</v>
      </c>
      <c r="M117" s="3">
        <f t="shared" si="25"/>
        <v>7.4741640376789604</v>
      </c>
      <c r="N117" s="2">
        <f>IF(VLOOKUP($B117,'Indicator Data (national)'!$B$5:$AS$14,44,FALSE)="No data","x",IF(VLOOKUP($B117,'Indicator Data (national)'!$B$5:$AS$14,44,FALSE)&gt;N$150,10,IF(VLOOKUP($B117,'Indicator Data (national)'!$B$5:$AS$14,44,FALSE)&lt;N$149,0,10-(N$150-VLOOKUP($B117,'Indicator Data (national)'!$B$5:$AS$14,44,FALSE))/(N$150-N$149)*10)))</f>
        <v>10</v>
      </c>
      <c r="O117" s="2">
        <f>IF(VLOOKUP($B117,'Indicator Data (national)'!$B$5:$AS$14,42,FALSE)="No data","x",IF(VLOOKUP($B117,'Indicator Data (national)'!$B$5:$AS$14,42,FALSE)&gt;O$150,0,IF(VLOOKUP($B117,'Indicator Data (national)'!$B$5:$AS$14,42,FALSE)&lt;O$149,10,(O$150-VLOOKUP($B117,'Indicator Data (national)'!$B$5:$AS$14,42,FALSE))/(O$150-O$149)*10)))</f>
        <v>10</v>
      </c>
      <c r="P117" s="158">
        <f t="shared" si="26"/>
        <v>10</v>
      </c>
      <c r="Q117" s="2">
        <f>IF(VLOOKUP($B117,'Indicator Data (national)'!$B$5:$Q$14,16,FALSE)="No data","x",IF(VLOOKUP($B117,'Indicator Data (national)'!$B$5:$Q$14,16,FALSE)&gt;Q$150,0,IF(VLOOKUP($B117,'Indicator Data (national)'!$B$5:$Q$14,16,FALSE)&lt;Q$149,10,(Q$150-VLOOKUP($B117,'Indicator Data (national)'!$B$5:$Q$14,16,FALSE))/(Q$150-Q$149)*10)))</f>
        <v>9.8475005400000004</v>
      </c>
      <c r="R117" s="158">
        <f t="shared" si="27"/>
        <v>9.8475005400000004</v>
      </c>
      <c r="S117" s="3">
        <f t="shared" si="33"/>
        <v>9.9237502699999993</v>
      </c>
      <c r="T117" s="2">
        <f>IF(VLOOKUP($B117,'Indicator Data (national)'!$B$5:$BC$14,43,FALSE)="No data","x",IF(VLOOKUP($B117,'Indicator Data (national)'!$B$5:$BC$14,43,FALSE)&gt;T$150,10,IF(VLOOKUP($B117,'Indicator Data (national)'!$B$5:$BC$14,43,FALSE)&lt;T$149,0,(T$150-VLOOKUP($B117,'Indicator Data (national)'!$B$5:$BC$14,43,FALSE))/(T$150-T$149)*10)))</f>
        <v>9.6</v>
      </c>
      <c r="U117" s="3">
        <f t="shared" si="28"/>
        <v>9.6</v>
      </c>
      <c r="V117" s="5">
        <f t="shared" si="34"/>
        <v>8.9993047692263204</v>
      </c>
      <c r="W117" s="2">
        <f>IF(VLOOKUP($B117,'Indicator Data (national)'!$B$5:$AS$14,37,FALSE)="No data","x",IF(VLOOKUP($B117,'Indicator Data (national)'!$B$5:$AS$14,37,FALSE)&gt;W$150,10,IF(VLOOKUP($B117,'Indicator Data (national)'!$B$5:$AS$14,37,FALSE)&lt;W$149,0,(LOG(W$150)-LOG(VLOOKUP($B117,'Indicator Data (national)'!$B$5:$AS$14,37,FALSE)))/(LOG(W$150)-LOG(W$149))*10)))</f>
        <v>7.2608683547343569</v>
      </c>
      <c r="X117" s="2">
        <f>IF(VLOOKUP($B117,'Indicator Data (national)'!$B$5:$BB$14,45,FALSE)="No data","x",IF(VLOOKUP($B117,'Indicator Data (national)'!$B$5:$BB$14,45,FALSE)&gt;X$150,10,IF(VLOOKUP($B117,'Indicator Data (national)'!$B$5:$BB$14,45,FALSE)&lt;X$149,0,10-(X$150-VLOOKUP($B117,'Indicator Data (national)'!$B$5:$BB$14,45,FALSE))/(X$150-X$149)*10)))</f>
        <v>10</v>
      </c>
      <c r="Y117" s="2" t="str">
        <f>IF(VLOOKUP($B117,'Indicator Data (national)'!$B$5:$BB$14,46,FALSE)="No data","x",IF(VLOOKUP($B117,'Indicator Data (national)'!$B$5:$BB$14,46,FALSE)&gt;Y$150,10,IF(VLOOKUP($B117,'Indicator Data (national)'!$B$5:$BB$14,46,FALSE)&lt;Y$149,0,(Y$150-VLOOKUP($B117,'Indicator Data (national)'!$B$5:$BB$14,46,FALSE))/(Y$150-Y$149)*10)))</f>
        <v>x</v>
      </c>
      <c r="Z117" s="156">
        <f>IF(VLOOKUP($B117,'Indicator Data (national)'!$B$5:$BB$14,48,FALSE)="No data","x",VLOOKUP($B117,'Indicator Data (national)'!$B$5:$BB$14,47,FALSE)*VLOOKUP($B117,'Indicator Data (national)'!$B$5:$BB$14,48,FALSE))</f>
        <v>207.27272727272725</v>
      </c>
      <c r="AA117" s="2">
        <f t="shared" si="29"/>
        <v>0</v>
      </c>
      <c r="AB117" s="3">
        <f t="shared" si="30"/>
        <v>5.7536227849114523</v>
      </c>
      <c r="AC117" s="2" t="str">
        <f>IF(VLOOKUP($B117,'Indicator Data (national)'!$B$5:$BB$14,49,FALSE)="No data","x",IF(VLOOKUP($B117,'Indicator Data (national)'!$B$5:$BB$14,49,FALSE)&gt;AC$150,0,IF(VLOOKUP($B117,'Indicator Data (national)'!$B$5:$BB$14,49,FALSE)&lt;AC$149,10,(AC$150-VLOOKUP($B117,'Indicator Data (national)'!$B$5:$BB$14,49,FALSE))/(AC$150-AC$149)*10)))</f>
        <v>x</v>
      </c>
      <c r="AD117" s="2" t="str">
        <f>IF(VLOOKUP($B117,'Indicator Data (national)'!$B$5:$BB$14,50,FALSE)="No data","x",IF(VLOOKUP($B117,'Indicator Data (national)'!$B$5:$BB$14,50,FALSE)&gt;AD$150,0,IF(VLOOKUP($B117,'Indicator Data (national)'!$B$5:$BB$14,50,FALSE)&lt;AD$149,10,(AD$150-VLOOKUP($B117,'Indicator Data (national)'!$B$5:$BB$14,50,FALSE))/(AD$150-AD$149)*10)))</f>
        <v>x</v>
      </c>
      <c r="AE117" s="3" t="str">
        <f t="shared" si="31"/>
        <v>x</v>
      </c>
      <c r="AF117" s="2">
        <f>IF(VLOOKUP($B117,'Indicator Data (national)'!$B$5:$BB$14,51,FALSE)="No data","x",IF(VLOOKUP($B117,'Indicator Data (national)'!$B$5:$BB$14,51,FALSE)&gt;AF$150,0,IF(VLOOKUP($B117,'Indicator Data (national)'!$B$5:$BB$14,51,FALSE)&lt;AF$149,10,(AF$150-VLOOKUP($B117,'Indicator Data (national)'!$B$5:$BB$14,51,FALSE))/(AF$150-AF$149)*10)))</f>
        <v>10</v>
      </c>
      <c r="AG117" s="2">
        <f>IF(VLOOKUP($B117,'Indicator Data (national)'!$B$5:$BB$14,52,FALSE)="No data","x",IF(VLOOKUP($B117,'Indicator Data (national)'!$B$5:$BB$14,52,FALSE)&gt;AG$150,0,IF(VLOOKUP($B117,'Indicator Data (national)'!$B$5:$BB$14,52,FALSE)&lt;AG$149,10,(AG$150-VLOOKUP($B117,'Indicator Data (national)'!$B$5:$BB$14,52,FALSE))/(AG$150-AG$149)*10)))</f>
        <v>10</v>
      </c>
      <c r="AH117" s="2" t="str">
        <f>IF(VLOOKUP($B117,'Indicator Data (national)'!$B$5:$BB$14,53,FALSE)="No data","x",IF(VLOOKUP($B117,'Indicator Data (national)'!$B$5:$BB$14,53,FALSE)&gt;AH$150,0,IF(VLOOKUP($B117,'Indicator Data (national)'!$B$5:$BB$14,53,FALSE)&lt;AH$149,10,(AH$150-VLOOKUP($B117,'Indicator Data (national)'!$B$5:$BB$14,53,FALSE))/(AH$150-AH$149)*10)))</f>
        <v>x</v>
      </c>
      <c r="AI117" s="3">
        <f t="shared" si="32"/>
        <v>10</v>
      </c>
      <c r="AJ117" s="5">
        <f t="shared" si="35"/>
        <v>7.8768113924557266</v>
      </c>
    </row>
    <row r="118" spans="1:36" s="11" customFormat="1" x14ac:dyDescent="0.25">
      <c r="A118" s="16" t="s">
        <v>517</v>
      </c>
      <c r="B118" s="11" t="s">
        <v>580</v>
      </c>
      <c r="C118" s="16" t="s">
        <v>518</v>
      </c>
      <c r="D118" s="120">
        <f>(VLOOKUP($B118,'Indicator Data (national)'!$B$5:$AP$14,39,FALSE)+VLOOKUP($B118,'Indicator Data (national)'!$B$5:$AP$14,40,FALSE)+VLOOKUP($B118,'Indicator Data (national)'!$B$5:$AP$14,41,FALSE))/VLOOKUP($B118,'Indicator Data (national)'!$B$5:$AP$14,38,FALSE)*1000000</f>
        <v>0.21246133535667344</v>
      </c>
      <c r="E118" s="2">
        <f t="shared" si="21"/>
        <v>8.9376933232166333</v>
      </c>
      <c r="F118" s="3">
        <f t="shared" si="22"/>
        <v>8.9376933232166333</v>
      </c>
      <c r="G118" s="2">
        <f>IF(VLOOKUP($B118,'Indicator Data (national)'!$B$5:$AQ$14,30,FALSE)="No data","x",IF(VLOOKUP($B118,'Indicator Data (national)'!$B$5:$AQ$14,30,FALSE)&gt;G$150,10,IF(VLOOKUP($B118,'Indicator Data (national)'!$B$5:$AQ$14,30,FALSE)&lt;G$149,0,(G$150-VLOOKUP($B118,'Indicator Data (national)'!$B$5:$AQ$14,30,FALSE))/(G$150-G$149)*10)))</f>
        <v>8.5</v>
      </c>
      <c r="H118" s="2">
        <f>IF(VLOOKUP($B118,'Indicator Data (national)'!$B$5:$AQ$14,29,FALSE)="No data","x",IF(VLOOKUP($B118,'Indicator Data (national)'!$B$5:$AQ$14,29,FALSE)&gt;H$150,10,IF(VLOOKUP($B118,'Indicator Data (national)'!$B$5:$AQ$14,29,FALSE)&lt;H$149,0,(H$150-VLOOKUP($B118,'Indicator Data (national)'!$B$5:$AQ$14,29,FALSE))/(H$150-H$149)*10)))</f>
        <v>7.9709010124206543</v>
      </c>
      <c r="I118" s="3">
        <f t="shared" si="23"/>
        <v>8.2354505062103271</v>
      </c>
      <c r="J118" s="5">
        <f t="shared" si="24"/>
        <v>8.5865719147134811</v>
      </c>
      <c r="K118" s="2" t="str">
        <f>IF(VLOOKUP($B118,'Indicator Data (national)'!$B$5:$AQ$14,33,FALSE)="No data","x",IF(VLOOKUP($B118,'Indicator Data (national)'!$B$5:$AQ$14,33,FALSE)&gt;K$150,10,IF(VLOOKUP($B118,'Indicator Data (national)'!$B$5:$AQ$14,33,FALSE)&lt;K$149,0,(K$150-VLOOKUP($B118,'Indicator Data (national)'!$B$5:$AQ$14,33,FALSE))/(K$150-K$149)*10)))</f>
        <v>x</v>
      </c>
      <c r="L118" s="2">
        <f>IF(VLOOKUP($B118,'Indicator Data (national)'!$B$5:$AQ$14,34,FALSE)="No data","x",IF(VLOOKUP($B118,'Indicator Data (national)'!$B$5:$AQ$14,34,FALSE)&gt;L$150,10,IF(VLOOKUP($B118,'Indicator Data (national)'!$B$5:$AQ$14,34,FALSE)&lt;L$149,0,(L$150-VLOOKUP($B118,'Indicator Data (national)'!$B$5:$AQ$14,34,FALSE))/(L$150-L$149)*10)))</f>
        <v>7.4741640376789604</v>
      </c>
      <c r="M118" s="3">
        <f t="shared" si="25"/>
        <v>7.4741640376789604</v>
      </c>
      <c r="N118" s="2">
        <f>IF(VLOOKUP($B118,'Indicator Data (national)'!$B$5:$AS$14,44,FALSE)="No data","x",IF(VLOOKUP($B118,'Indicator Data (national)'!$B$5:$AS$14,44,FALSE)&gt;N$150,10,IF(VLOOKUP($B118,'Indicator Data (national)'!$B$5:$AS$14,44,FALSE)&lt;N$149,0,10-(N$150-VLOOKUP($B118,'Indicator Data (national)'!$B$5:$AS$14,44,FALSE))/(N$150-N$149)*10)))</f>
        <v>10</v>
      </c>
      <c r="O118" s="2">
        <f>IF(VLOOKUP($B118,'Indicator Data (national)'!$B$5:$AS$14,42,FALSE)="No data","x",IF(VLOOKUP($B118,'Indicator Data (national)'!$B$5:$AS$14,42,FALSE)&gt;O$150,0,IF(VLOOKUP($B118,'Indicator Data (national)'!$B$5:$AS$14,42,FALSE)&lt;O$149,10,(O$150-VLOOKUP($B118,'Indicator Data (national)'!$B$5:$AS$14,42,FALSE))/(O$150-O$149)*10)))</f>
        <v>10</v>
      </c>
      <c r="P118" s="158">
        <f t="shared" si="26"/>
        <v>10</v>
      </c>
      <c r="Q118" s="2">
        <f>IF(VLOOKUP($B118,'Indicator Data (national)'!$B$5:$Q$14,16,FALSE)="No data","x",IF(VLOOKUP($B118,'Indicator Data (national)'!$B$5:$Q$14,16,FALSE)&gt;Q$150,0,IF(VLOOKUP($B118,'Indicator Data (national)'!$B$5:$Q$14,16,FALSE)&lt;Q$149,10,(Q$150-VLOOKUP($B118,'Indicator Data (national)'!$B$5:$Q$14,16,FALSE))/(Q$150-Q$149)*10)))</f>
        <v>9.8475005400000004</v>
      </c>
      <c r="R118" s="158">
        <f t="shared" si="27"/>
        <v>9.8475005400000004</v>
      </c>
      <c r="S118" s="3">
        <f t="shared" si="33"/>
        <v>9.9237502699999993</v>
      </c>
      <c r="T118" s="2">
        <f>IF(VLOOKUP($B118,'Indicator Data (national)'!$B$5:$BC$14,43,FALSE)="No data","x",IF(VLOOKUP($B118,'Indicator Data (national)'!$B$5:$BC$14,43,FALSE)&gt;T$150,10,IF(VLOOKUP($B118,'Indicator Data (national)'!$B$5:$BC$14,43,FALSE)&lt;T$149,0,(T$150-VLOOKUP($B118,'Indicator Data (national)'!$B$5:$BC$14,43,FALSE))/(T$150-T$149)*10)))</f>
        <v>9.6</v>
      </c>
      <c r="U118" s="3">
        <f t="shared" si="28"/>
        <v>9.6</v>
      </c>
      <c r="V118" s="5">
        <f t="shared" si="34"/>
        <v>8.9993047692263204</v>
      </c>
      <c r="W118" s="2">
        <f>IF(VLOOKUP($B118,'Indicator Data (national)'!$B$5:$AS$14,37,FALSE)="No data","x",IF(VLOOKUP($B118,'Indicator Data (national)'!$B$5:$AS$14,37,FALSE)&gt;W$150,10,IF(VLOOKUP($B118,'Indicator Data (national)'!$B$5:$AS$14,37,FALSE)&lt;W$149,0,(LOG(W$150)-LOG(VLOOKUP($B118,'Indicator Data (national)'!$B$5:$AS$14,37,FALSE)))/(LOG(W$150)-LOG(W$149))*10)))</f>
        <v>7.2608683547343569</v>
      </c>
      <c r="X118" s="2">
        <f>IF(VLOOKUP($B118,'Indicator Data (national)'!$B$5:$BB$14,45,FALSE)="No data","x",IF(VLOOKUP($B118,'Indicator Data (national)'!$B$5:$BB$14,45,FALSE)&gt;X$150,10,IF(VLOOKUP($B118,'Indicator Data (national)'!$B$5:$BB$14,45,FALSE)&lt;X$149,0,10-(X$150-VLOOKUP($B118,'Indicator Data (national)'!$B$5:$BB$14,45,FALSE))/(X$150-X$149)*10)))</f>
        <v>10</v>
      </c>
      <c r="Y118" s="2" t="str">
        <f>IF(VLOOKUP($B118,'Indicator Data (national)'!$B$5:$BB$14,46,FALSE)="No data","x",IF(VLOOKUP($B118,'Indicator Data (national)'!$B$5:$BB$14,46,FALSE)&gt;Y$150,10,IF(VLOOKUP($B118,'Indicator Data (national)'!$B$5:$BB$14,46,FALSE)&lt;Y$149,0,(Y$150-VLOOKUP($B118,'Indicator Data (national)'!$B$5:$BB$14,46,FALSE))/(Y$150-Y$149)*10)))</f>
        <v>x</v>
      </c>
      <c r="Z118" s="156">
        <f>IF(VLOOKUP($B118,'Indicator Data (national)'!$B$5:$BB$14,48,FALSE)="No data","x",VLOOKUP($B118,'Indicator Data (national)'!$B$5:$BB$14,47,FALSE)*VLOOKUP($B118,'Indicator Data (national)'!$B$5:$BB$14,48,FALSE))</f>
        <v>207.27272727272725</v>
      </c>
      <c r="AA118" s="2">
        <f t="shared" si="29"/>
        <v>0</v>
      </c>
      <c r="AB118" s="3">
        <f t="shared" si="30"/>
        <v>5.7536227849114523</v>
      </c>
      <c r="AC118" s="2" t="str">
        <f>IF(VLOOKUP($B118,'Indicator Data (national)'!$B$5:$BB$14,49,FALSE)="No data","x",IF(VLOOKUP($B118,'Indicator Data (national)'!$B$5:$BB$14,49,FALSE)&gt;AC$150,0,IF(VLOOKUP($B118,'Indicator Data (national)'!$B$5:$BB$14,49,FALSE)&lt;AC$149,10,(AC$150-VLOOKUP($B118,'Indicator Data (national)'!$B$5:$BB$14,49,FALSE))/(AC$150-AC$149)*10)))</f>
        <v>x</v>
      </c>
      <c r="AD118" s="2" t="str">
        <f>IF(VLOOKUP($B118,'Indicator Data (national)'!$B$5:$BB$14,50,FALSE)="No data","x",IF(VLOOKUP($B118,'Indicator Data (national)'!$B$5:$BB$14,50,FALSE)&gt;AD$150,0,IF(VLOOKUP($B118,'Indicator Data (national)'!$B$5:$BB$14,50,FALSE)&lt;AD$149,10,(AD$150-VLOOKUP($B118,'Indicator Data (national)'!$B$5:$BB$14,50,FALSE))/(AD$150-AD$149)*10)))</f>
        <v>x</v>
      </c>
      <c r="AE118" s="3" t="str">
        <f t="shared" si="31"/>
        <v>x</v>
      </c>
      <c r="AF118" s="2">
        <f>IF(VLOOKUP($B118,'Indicator Data (national)'!$B$5:$BB$14,51,FALSE)="No data","x",IF(VLOOKUP($B118,'Indicator Data (national)'!$B$5:$BB$14,51,FALSE)&gt;AF$150,0,IF(VLOOKUP($B118,'Indicator Data (national)'!$B$5:$BB$14,51,FALSE)&lt;AF$149,10,(AF$150-VLOOKUP($B118,'Indicator Data (national)'!$B$5:$BB$14,51,FALSE))/(AF$150-AF$149)*10)))</f>
        <v>10</v>
      </c>
      <c r="AG118" s="2">
        <f>IF(VLOOKUP($B118,'Indicator Data (national)'!$B$5:$BB$14,52,FALSE)="No data","x",IF(VLOOKUP($B118,'Indicator Data (national)'!$B$5:$BB$14,52,FALSE)&gt;AG$150,0,IF(VLOOKUP($B118,'Indicator Data (national)'!$B$5:$BB$14,52,FALSE)&lt;AG$149,10,(AG$150-VLOOKUP($B118,'Indicator Data (national)'!$B$5:$BB$14,52,FALSE))/(AG$150-AG$149)*10)))</f>
        <v>10</v>
      </c>
      <c r="AH118" s="2" t="str">
        <f>IF(VLOOKUP($B118,'Indicator Data (national)'!$B$5:$BB$14,53,FALSE)="No data","x",IF(VLOOKUP($B118,'Indicator Data (national)'!$B$5:$BB$14,53,FALSE)&gt;AH$150,0,IF(VLOOKUP($B118,'Indicator Data (national)'!$B$5:$BB$14,53,FALSE)&lt;AH$149,10,(AH$150-VLOOKUP($B118,'Indicator Data (national)'!$B$5:$BB$14,53,FALSE))/(AH$150-AH$149)*10)))</f>
        <v>x</v>
      </c>
      <c r="AI118" s="3">
        <f t="shared" si="32"/>
        <v>10</v>
      </c>
      <c r="AJ118" s="5">
        <f t="shared" si="35"/>
        <v>7.8768113924557266</v>
      </c>
    </row>
    <row r="119" spans="1:36" s="11" customFormat="1" x14ac:dyDescent="0.25">
      <c r="A119" s="16" t="s">
        <v>519</v>
      </c>
      <c r="B119" s="11" t="s">
        <v>580</v>
      </c>
      <c r="C119" s="16" t="s">
        <v>520</v>
      </c>
      <c r="D119" s="120">
        <f>(VLOOKUP($B119,'Indicator Data (national)'!$B$5:$AP$14,39,FALSE)+VLOOKUP($B119,'Indicator Data (national)'!$B$5:$AP$14,40,FALSE)+VLOOKUP($B119,'Indicator Data (national)'!$B$5:$AP$14,41,FALSE))/VLOOKUP($B119,'Indicator Data (national)'!$B$5:$AP$14,38,FALSE)*1000000</f>
        <v>0.21246133535667344</v>
      </c>
      <c r="E119" s="2">
        <f t="shared" si="21"/>
        <v>8.9376933232166333</v>
      </c>
      <c r="F119" s="3">
        <f t="shared" si="22"/>
        <v>8.9376933232166333</v>
      </c>
      <c r="G119" s="2">
        <f>IF(VLOOKUP($B119,'Indicator Data (national)'!$B$5:$AQ$14,30,FALSE)="No data","x",IF(VLOOKUP($B119,'Indicator Data (national)'!$B$5:$AQ$14,30,FALSE)&gt;G$150,10,IF(VLOOKUP($B119,'Indicator Data (national)'!$B$5:$AQ$14,30,FALSE)&lt;G$149,0,(G$150-VLOOKUP($B119,'Indicator Data (national)'!$B$5:$AQ$14,30,FALSE))/(G$150-G$149)*10)))</f>
        <v>8.5</v>
      </c>
      <c r="H119" s="2">
        <f>IF(VLOOKUP($B119,'Indicator Data (national)'!$B$5:$AQ$14,29,FALSE)="No data","x",IF(VLOOKUP($B119,'Indicator Data (national)'!$B$5:$AQ$14,29,FALSE)&gt;H$150,10,IF(VLOOKUP($B119,'Indicator Data (national)'!$B$5:$AQ$14,29,FALSE)&lt;H$149,0,(H$150-VLOOKUP($B119,'Indicator Data (national)'!$B$5:$AQ$14,29,FALSE))/(H$150-H$149)*10)))</f>
        <v>7.9709010124206543</v>
      </c>
      <c r="I119" s="3">
        <f t="shared" si="23"/>
        <v>8.2354505062103271</v>
      </c>
      <c r="J119" s="5">
        <f t="shared" si="24"/>
        <v>8.5865719147134811</v>
      </c>
      <c r="K119" s="2" t="str">
        <f>IF(VLOOKUP($B119,'Indicator Data (national)'!$B$5:$AQ$14,33,FALSE)="No data","x",IF(VLOOKUP($B119,'Indicator Data (national)'!$B$5:$AQ$14,33,FALSE)&gt;K$150,10,IF(VLOOKUP($B119,'Indicator Data (national)'!$B$5:$AQ$14,33,FALSE)&lt;K$149,0,(K$150-VLOOKUP($B119,'Indicator Data (national)'!$B$5:$AQ$14,33,FALSE))/(K$150-K$149)*10)))</f>
        <v>x</v>
      </c>
      <c r="L119" s="2">
        <f>IF(VLOOKUP($B119,'Indicator Data (national)'!$B$5:$AQ$14,34,FALSE)="No data","x",IF(VLOOKUP($B119,'Indicator Data (national)'!$B$5:$AQ$14,34,FALSE)&gt;L$150,10,IF(VLOOKUP($B119,'Indicator Data (national)'!$B$5:$AQ$14,34,FALSE)&lt;L$149,0,(L$150-VLOOKUP($B119,'Indicator Data (national)'!$B$5:$AQ$14,34,FALSE))/(L$150-L$149)*10)))</f>
        <v>7.4741640376789604</v>
      </c>
      <c r="M119" s="3">
        <f t="shared" si="25"/>
        <v>7.4741640376789604</v>
      </c>
      <c r="N119" s="2">
        <f>IF(VLOOKUP($B119,'Indicator Data (national)'!$B$5:$AS$14,44,FALSE)="No data","x",IF(VLOOKUP($B119,'Indicator Data (national)'!$B$5:$AS$14,44,FALSE)&gt;N$150,10,IF(VLOOKUP($B119,'Indicator Data (national)'!$B$5:$AS$14,44,FALSE)&lt;N$149,0,10-(N$150-VLOOKUP($B119,'Indicator Data (national)'!$B$5:$AS$14,44,FALSE))/(N$150-N$149)*10)))</f>
        <v>10</v>
      </c>
      <c r="O119" s="2">
        <f>IF(VLOOKUP($B119,'Indicator Data (national)'!$B$5:$AS$14,42,FALSE)="No data","x",IF(VLOOKUP($B119,'Indicator Data (national)'!$B$5:$AS$14,42,FALSE)&gt;O$150,0,IF(VLOOKUP($B119,'Indicator Data (national)'!$B$5:$AS$14,42,FALSE)&lt;O$149,10,(O$150-VLOOKUP($B119,'Indicator Data (national)'!$B$5:$AS$14,42,FALSE))/(O$150-O$149)*10)))</f>
        <v>10</v>
      </c>
      <c r="P119" s="158">
        <f t="shared" si="26"/>
        <v>10</v>
      </c>
      <c r="Q119" s="2">
        <f>IF(VLOOKUP($B119,'Indicator Data (national)'!$B$5:$Q$14,16,FALSE)="No data","x",IF(VLOOKUP($B119,'Indicator Data (national)'!$B$5:$Q$14,16,FALSE)&gt;Q$150,0,IF(VLOOKUP($B119,'Indicator Data (national)'!$B$5:$Q$14,16,FALSE)&lt;Q$149,10,(Q$150-VLOOKUP($B119,'Indicator Data (national)'!$B$5:$Q$14,16,FALSE))/(Q$150-Q$149)*10)))</f>
        <v>9.8475005400000004</v>
      </c>
      <c r="R119" s="158">
        <f t="shared" si="27"/>
        <v>9.8475005400000004</v>
      </c>
      <c r="S119" s="3">
        <f t="shared" si="33"/>
        <v>9.9237502699999993</v>
      </c>
      <c r="T119" s="2">
        <f>IF(VLOOKUP($B119,'Indicator Data (national)'!$B$5:$BC$14,43,FALSE)="No data","x",IF(VLOOKUP($B119,'Indicator Data (national)'!$B$5:$BC$14,43,FALSE)&gt;T$150,10,IF(VLOOKUP($B119,'Indicator Data (national)'!$B$5:$BC$14,43,FALSE)&lt;T$149,0,(T$150-VLOOKUP($B119,'Indicator Data (national)'!$B$5:$BC$14,43,FALSE))/(T$150-T$149)*10)))</f>
        <v>9.6</v>
      </c>
      <c r="U119" s="3">
        <f t="shared" si="28"/>
        <v>9.6</v>
      </c>
      <c r="V119" s="5">
        <f t="shared" si="34"/>
        <v>8.9993047692263204</v>
      </c>
      <c r="W119" s="2">
        <f>IF(VLOOKUP($B119,'Indicator Data (national)'!$B$5:$AS$14,37,FALSE)="No data","x",IF(VLOOKUP($B119,'Indicator Data (national)'!$B$5:$AS$14,37,FALSE)&gt;W$150,10,IF(VLOOKUP($B119,'Indicator Data (national)'!$B$5:$AS$14,37,FALSE)&lt;W$149,0,(LOG(W$150)-LOG(VLOOKUP($B119,'Indicator Data (national)'!$B$5:$AS$14,37,FALSE)))/(LOG(W$150)-LOG(W$149))*10)))</f>
        <v>7.2608683547343569</v>
      </c>
      <c r="X119" s="2">
        <f>IF(VLOOKUP($B119,'Indicator Data (national)'!$B$5:$BB$14,45,FALSE)="No data","x",IF(VLOOKUP($B119,'Indicator Data (national)'!$B$5:$BB$14,45,FALSE)&gt;X$150,10,IF(VLOOKUP($B119,'Indicator Data (national)'!$B$5:$BB$14,45,FALSE)&lt;X$149,0,10-(X$150-VLOOKUP($B119,'Indicator Data (national)'!$B$5:$BB$14,45,FALSE))/(X$150-X$149)*10)))</f>
        <v>10</v>
      </c>
      <c r="Y119" s="2" t="str">
        <f>IF(VLOOKUP($B119,'Indicator Data (national)'!$B$5:$BB$14,46,FALSE)="No data","x",IF(VLOOKUP($B119,'Indicator Data (national)'!$B$5:$BB$14,46,FALSE)&gt;Y$150,10,IF(VLOOKUP($B119,'Indicator Data (national)'!$B$5:$BB$14,46,FALSE)&lt;Y$149,0,(Y$150-VLOOKUP($B119,'Indicator Data (national)'!$B$5:$BB$14,46,FALSE))/(Y$150-Y$149)*10)))</f>
        <v>x</v>
      </c>
      <c r="Z119" s="156">
        <f>IF(VLOOKUP($B119,'Indicator Data (national)'!$B$5:$BB$14,48,FALSE)="No data","x",VLOOKUP($B119,'Indicator Data (national)'!$B$5:$BB$14,47,FALSE)*VLOOKUP($B119,'Indicator Data (national)'!$B$5:$BB$14,48,FALSE))</f>
        <v>207.27272727272725</v>
      </c>
      <c r="AA119" s="2">
        <f t="shared" si="29"/>
        <v>0</v>
      </c>
      <c r="AB119" s="3">
        <f t="shared" si="30"/>
        <v>5.7536227849114523</v>
      </c>
      <c r="AC119" s="2" t="str">
        <f>IF(VLOOKUP($B119,'Indicator Data (national)'!$B$5:$BB$14,49,FALSE)="No data","x",IF(VLOOKUP($B119,'Indicator Data (national)'!$B$5:$BB$14,49,FALSE)&gt;AC$150,0,IF(VLOOKUP($B119,'Indicator Data (national)'!$B$5:$BB$14,49,FALSE)&lt;AC$149,10,(AC$150-VLOOKUP($B119,'Indicator Data (national)'!$B$5:$BB$14,49,FALSE))/(AC$150-AC$149)*10)))</f>
        <v>x</v>
      </c>
      <c r="AD119" s="2" t="str">
        <f>IF(VLOOKUP($B119,'Indicator Data (national)'!$B$5:$BB$14,50,FALSE)="No data","x",IF(VLOOKUP($B119,'Indicator Data (national)'!$B$5:$BB$14,50,FALSE)&gt;AD$150,0,IF(VLOOKUP($B119,'Indicator Data (national)'!$B$5:$BB$14,50,FALSE)&lt;AD$149,10,(AD$150-VLOOKUP($B119,'Indicator Data (national)'!$B$5:$BB$14,50,FALSE))/(AD$150-AD$149)*10)))</f>
        <v>x</v>
      </c>
      <c r="AE119" s="3" t="str">
        <f t="shared" si="31"/>
        <v>x</v>
      </c>
      <c r="AF119" s="2">
        <f>IF(VLOOKUP($B119,'Indicator Data (national)'!$B$5:$BB$14,51,FALSE)="No data","x",IF(VLOOKUP($B119,'Indicator Data (national)'!$B$5:$BB$14,51,FALSE)&gt;AF$150,0,IF(VLOOKUP($B119,'Indicator Data (national)'!$B$5:$BB$14,51,FALSE)&lt;AF$149,10,(AF$150-VLOOKUP($B119,'Indicator Data (national)'!$B$5:$BB$14,51,FALSE))/(AF$150-AF$149)*10)))</f>
        <v>10</v>
      </c>
      <c r="AG119" s="2">
        <f>IF(VLOOKUP($B119,'Indicator Data (national)'!$B$5:$BB$14,52,FALSE)="No data","x",IF(VLOOKUP($B119,'Indicator Data (national)'!$B$5:$BB$14,52,FALSE)&gt;AG$150,0,IF(VLOOKUP($B119,'Indicator Data (national)'!$B$5:$BB$14,52,FALSE)&lt;AG$149,10,(AG$150-VLOOKUP($B119,'Indicator Data (national)'!$B$5:$BB$14,52,FALSE))/(AG$150-AG$149)*10)))</f>
        <v>10</v>
      </c>
      <c r="AH119" s="2" t="str">
        <f>IF(VLOOKUP($B119,'Indicator Data (national)'!$B$5:$BB$14,53,FALSE)="No data","x",IF(VLOOKUP($B119,'Indicator Data (national)'!$B$5:$BB$14,53,FALSE)&gt;AH$150,0,IF(VLOOKUP($B119,'Indicator Data (national)'!$B$5:$BB$14,53,FALSE)&lt;AH$149,10,(AH$150-VLOOKUP($B119,'Indicator Data (national)'!$B$5:$BB$14,53,FALSE))/(AH$150-AH$149)*10)))</f>
        <v>x</v>
      </c>
      <c r="AI119" s="3">
        <f t="shared" si="32"/>
        <v>10</v>
      </c>
      <c r="AJ119" s="5">
        <f t="shared" si="35"/>
        <v>7.8768113924557266</v>
      </c>
    </row>
    <row r="120" spans="1:36" s="11" customFormat="1" x14ac:dyDescent="0.25">
      <c r="A120" s="16" t="s">
        <v>521</v>
      </c>
      <c r="B120" s="11" t="s">
        <v>580</v>
      </c>
      <c r="C120" s="16" t="s">
        <v>522</v>
      </c>
      <c r="D120" s="120">
        <f>(VLOOKUP($B120,'Indicator Data (national)'!$B$5:$AP$14,39,FALSE)+VLOOKUP($B120,'Indicator Data (national)'!$B$5:$AP$14,40,FALSE)+VLOOKUP($B120,'Indicator Data (national)'!$B$5:$AP$14,41,FALSE))/VLOOKUP($B120,'Indicator Data (national)'!$B$5:$AP$14,38,FALSE)*1000000</f>
        <v>0.21246133535667344</v>
      </c>
      <c r="E120" s="2">
        <f t="shared" si="21"/>
        <v>8.9376933232166333</v>
      </c>
      <c r="F120" s="3">
        <f t="shared" si="22"/>
        <v>8.9376933232166333</v>
      </c>
      <c r="G120" s="2">
        <f>IF(VLOOKUP($B120,'Indicator Data (national)'!$B$5:$AQ$14,30,FALSE)="No data","x",IF(VLOOKUP($B120,'Indicator Data (national)'!$B$5:$AQ$14,30,FALSE)&gt;G$150,10,IF(VLOOKUP($B120,'Indicator Data (national)'!$B$5:$AQ$14,30,FALSE)&lt;G$149,0,(G$150-VLOOKUP($B120,'Indicator Data (national)'!$B$5:$AQ$14,30,FALSE))/(G$150-G$149)*10)))</f>
        <v>8.5</v>
      </c>
      <c r="H120" s="2">
        <f>IF(VLOOKUP($B120,'Indicator Data (national)'!$B$5:$AQ$14,29,FALSE)="No data","x",IF(VLOOKUP($B120,'Indicator Data (national)'!$B$5:$AQ$14,29,FALSE)&gt;H$150,10,IF(VLOOKUP($B120,'Indicator Data (national)'!$B$5:$AQ$14,29,FALSE)&lt;H$149,0,(H$150-VLOOKUP($B120,'Indicator Data (national)'!$B$5:$AQ$14,29,FALSE))/(H$150-H$149)*10)))</f>
        <v>7.9709010124206543</v>
      </c>
      <c r="I120" s="3">
        <f t="shared" si="23"/>
        <v>8.2354505062103271</v>
      </c>
      <c r="J120" s="5">
        <f t="shared" si="24"/>
        <v>8.5865719147134811</v>
      </c>
      <c r="K120" s="2" t="str">
        <f>IF(VLOOKUP($B120,'Indicator Data (national)'!$B$5:$AQ$14,33,FALSE)="No data","x",IF(VLOOKUP($B120,'Indicator Data (national)'!$B$5:$AQ$14,33,FALSE)&gt;K$150,10,IF(VLOOKUP($B120,'Indicator Data (national)'!$B$5:$AQ$14,33,FALSE)&lt;K$149,0,(K$150-VLOOKUP($B120,'Indicator Data (national)'!$B$5:$AQ$14,33,FALSE))/(K$150-K$149)*10)))</f>
        <v>x</v>
      </c>
      <c r="L120" s="2">
        <f>IF(VLOOKUP($B120,'Indicator Data (national)'!$B$5:$AQ$14,34,FALSE)="No data","x",IF(VLOOKUP($B120,'Indicator Data (national)'!$B$5:$AQ$14,34,FALSE)&gt;L$150,10,IF(VLOOKUP($B120,'Indicator Data (national)'!$B$5:$AQ$14,34,FALSE)&lt;L$149,0,(L$150-VLOOKUP($B120,'Indicator Data (national)'!$B$5:$AQ$14,34,FALSE))/(L$150-L$149)*10)))</f>
        <v>7.4741640376789604</v>
      </c>
      <c r="M120" s="3">
        <f t="shared" si="25"/>
        <v>7.4741640376789604</v>
      </c>
      <c r="N120" s="2">
        <f>IF(VLOOKUP($B120,'Indicator Data (national)'!$B$5:$AS$14,44,FALSE)="No data","x",IF(VLOOKUP($B120,'Indicator Data (national)'!$B$5:$AS$14,44,FALSE)&gt;N$150,10,IF(VLOOKUP($B120,'Indicator Data (national)'!$B$5:$AS$14,44,FALSE)&lt;N$149,0,10-(N$150-VLOOKUP($B120,'Indicator Data (national)'!$B$5:$AS$14,44,FALSE))/(N$150-N$149)*10)))</f>
        <v>10</v>
      </c>
      <c r="O120" s="2">
        <f>IF(VLOOKUP($B120,'Indicator Data (national)'!$B$5:$AS$14,42,FALSE)="No data","x",IF(VLOOKUP($B120,'Indicator Data (national)'!$B$5:$AS$14,42,FALSE)&gt;O$150,0,IF(VLOOKUP($B120,'Indicator Data (national)'!$B$5:$AS$14,42,FALSE)&lt;O$149,10,(O$150-VLOOKUP($B120,'Indicator Data (national)'!$B$5:$AS$14,42,FALSE))/(O$150-O$149)*10)))</f>
        <v>10</v>
      </c>
      <c r="P120" s="158">
        <f t="shared" si="26"/>
        <v>10</v>
      </c>
      <c r="Q120" s="2">
        <f>IF(VLOOKUP($B120,'Indicator Data (national)'!$B$5:$Q$14,16,FALSE)="No data","x",IF(VLOOKUP($B120,'Indicator Data (national)'!$B$5:$Q$14,16,FALSE)&gt;Q$150,0,IF(VLOOKUP($B120,'Indicator Data (national)'!$B$5:$Q$14,16,FALSE)&lt;Q$149,10,(Q$150-VLOOKUP($B120,'Indicator Data (national)'!$B$5:$Q$14,16,FALSE))/(Q$150-Q$149)*10)))</f>
        <v>9.8475005400000004</v>
      </c>
      <c r="R120" s="158">
        <f t="shared" si="27"/>
        <v>9.8475005400000004</v>
      </c>
      <c r="S120" s="3">
        <f t="shared" si="33"/>
        <v>9.9237502699999993</v>
      </c>
      <c r="T120" s="2">
        <f>IF(VLOOKUP($B120,'Indicator Data (national)'!$B$5:$BC$14,43,FALSE)="No data","x",IF(VLOOKUP($B120,'Indicator Data (national)'!$B$5:$BC$14,43,FALSE)&gt;T$150,10,IF(VLOOKUP($B120,'Indicator Data (national)'!$B$5:$BC$14,43,FALSE)&lt;T$149,0,(T$150-VLOOKUP($B120,'Indicator Data (national)'!$B$5:$BC$14,43,FALSE))/(T$150-T$149)*10)))</f>
        <v>9.6</v>
      </c>
      <c r="U120" s="3">
        <f t="shared" si="28"/>
        <v>9.6</v>
      </c>
      <c r="V120" s="5">
        <f t="shared" si="34"/>
        <v>8.9993047692263204</v>
      </c>
      <c r="W120" s="2">
        <f>IF(VLOOKUP($B120,'Indicator Data (national)'!$B$5:$AS$14,37,FALSE)="No data","x",IF(VLOOKUP($B120,'Indicator Data (national)'!$B$5:$AS$14,37,FALSE)&gt;W$150,10,IF(VLOOKUP($B120,'Indicator Data (national)'!$B$5:$AS$14,37,FALSE)&lt;W$149,0,(LOG(W$150)-LOG(VLOOKUP($B120,'Indicator Data (national)'!$B$5:$AS$14,37,FALSE)))/(LOG(W$150)-LOG(W$149))*10)))</f>
        <v>7.2608683547343569</v>
      </c>
      <c r="X120" s="2">
        <f>IF(VLOOKUP($B120,'Indicator Data (national)'!$B$5:$BB$14,45,FALSE)="No data","x",IF(VLOOKUP($B120,'Indicator Data (national)'!$B$5:$BB$14,45,FALSE)&gt;X$150,10,IF(VLOOKUP($B120,'Indicator Data (national)'!$B$5:$BB$14,45,FALSE)&lt;X$149,0,10-(X$150-VLOOKUP($B120,'Indicator Data (national)'!$B$5:$BB$14,45,FALSE))/(X$150-X$149)*10)))</f>
        <v>10</v>
      </c>
      <c r="Y120" s="2" t="str">
        <f>IF(VLOOKUP($B120,'Indicator Data (national)'!$B$5:$BB$14,46,FALSE)="No data","x",IF(VLOOKUP($B120,'Indicator Data (national)'!$B$5:$BB$14,46,FALSE)&gt;Y$150,10,IF(VLOOKUP($B120,'Indicator Data (national)'!$B$5:$BB$14,46,FALSE)&lt;Y$149,0,(Y$150-VLOOKUP($B120,'Indicator Data (national)'!$B$5:$BB$14,46,FALSE))/(Y$150-Y$149)*10)))</f>
        <v>x</v>
      </c>
      <c r="Z120" s="156">
        <f>IF(VLOOKUP($B120,'Indicator Data (national)'!$B$5:$BB$14,48,FALSE)="No data","x",VLOOKUP($B120,'Indicator Data (national)'!$B$5:$BB$14,47,FALSE)*VLOOKUP($B120,'Indicator Data (national)'!$B$5:$BB$14,48,FALSE))</f>
        <v>207.27272727272725</v>
      </c>
      <c r="AA120" s="2">
        <f t="shared" si="29"/>
        <v>0</v>
      </c>
      <c r="AB120" s="3">
        <f t="shared" si="30"/>
        <v>5.7536227849114523</v>
      </c>
      <c r="AC120" s="2" t="str">
        <f>IF(VLOOKUP($B120,'Indicator Data (national)'!$B$5:$BB$14,49,FALSE)="No data","x",IF(VLOOKUP($B120,'Indicator Data (national)'!$B$5:$BB$14,49,FALSE)&gt;AC$150,0,IF(VLOOKUP($B120,'Indicator Data (national)'!$B$5:$BB$14,49,FALSE)&lt;AC$149,10,(AC$150-VLOOKUP($B120,'Indicator Data (national)'!$B$5:$BB$14,49,FALSE))/(AC$150-AC$149)*10)))</f>
        <v>x</v>
      </c>
      <c r="AD120" s="2" t="str">
        <f>IF(VLOOKUP($B120,'Indicator Data (national)'!$B$5:$BB$14,50,FALSE)="No data","x",IF(VLOOKUP($B120,'Indicator Data (national)'!$B$5:$BB$14,50,FALSE)&gt;AD$150,0,IF(VLOOKUP($B120,'Indicator Data (national)'!$B$5:$BB$14,50,FALSE)&lt;AD$149,10,(AD$150-VLOOKUP($B120,'Indicator Data (national)'!$B$5:$BB$14,50,FALSE))/(AD$150-AD$149)*10)))</f>
        <v>x</v>
      </c>
      <c r="AE120" s="3" t="str">
        <f t="shared" si="31"/>
        <v>x</v>
      </c>
      <c r="AF120" s="2">
        <f>IF(VLOOKUP($B120,'Indicator Data (national)'!$B$5:$BB$14,51,FALSE)="No data","x",IF(VLOOKUP($B120,'Indicator Data (national)'!$B$5:$BB$14,51,FALSE)&gt;AF$150,0,IF(VLOOKUP($B120,'Indicator Data (national)'!$B$5:$BB$14,51,FALSE)&lt;AF$149,10,(AF$150-VLOOKUP($B120,'Indicator Data (national)'!$B$5:$BB$14,51,FALSE))/(AF$150-AF$149)*10)))</f>
        <v>10</v>
      </c>
      <c r="AG120" s="2">
        <f>IF(VLOOKUP($B120,'Indicator Data (national)'!$B$5:$BB$14,52,FALSE)="No data","x",IF(VLOOKUP($B120,'Indicator Data (national)'!$B$5:$BB$14,52,FALSE)&gt;AG$150,0,IF(VLOOKUP($B120,'Indicator Data (national)'!$B$5:$BB$14,52,FALSE)&lt;AG$149,10,(AG$150-VLOOKUP($B120,'Indicator Data (national)'!$B$5:$BB$14,52,FALSE))/(AG$150-AG$149)*10)))</f>
        <v>10</v>
      </c>
      <c r="AH120" s="2" t="str">
        <f>IF(VLOOKUP($B120,'Indicator Data (national)'!$B$5:$BB$14,53,FALSE)="No data","x",IF(VLOOKUP($B120,'Indicator Data (national)'!$B$5:$BB$14,53,FALSE)&gt;AH$150,0,IF(VLOOKUP($B120,'Indicator Data (national)'!$B$5:$BB$14,53,FALSE)&lt;AH$149,10,(AH$150-VLOOKUP($B120,'Indicator Data (national)'!$B$5:$BB$14,53,FALSE))/(AH$150-AH$149)*10)))</f>
        <v>x</v>
      </c>
      <c r="AI120" s="3">
        <f t="shared" si="32"/>
        <v>10</v>
      </c>
      <c r="AJ120" s="5">
        <f t="shared" si="35"/>
        <v>7.8768113924557266</v>
      </c>
    </row>
    <row r="121" spans="1:36" s="11" customFormat="1" x14ac:dyDescent="0.25">
      <c r="A121" s="16" t="s">
        <v>523</v>
      </c>
      <c r="B121" s="11" t="s">
        <v>580</v>
      </c>
      <c r="C121" s="16" t="s">
        <v>524</v>
      </c>
      <c r="D121" s="120">
        <f>(VLOOKUP($B121,'Indicator Data (national)'!$B$5:$AP$14,39,FALSE)+VLOOKUP($B121,'Indicator Data (national)'!$B$5:$AP$14,40,FALSE)+VLOOKUP($B121,'Indicator Data (national)'!$B$5:$AP$14,41,FALSE))/VLOOKUP($B121,'Indicator Data (national)'!$B$5:$AP$14,38,FALSE)*1000000</f>
        <v>0.21246133535667344</v>
      </c>
      <c r="E121" s="2">
        <f t="shared" si="21"/>
        <v>8.9376933232166333</v>
      </c>
      <c r="F121" s="3">
        <f t="shared" si="22"/>
        <v>8.9376933232166333</v>
      </c>
      <c r="G121" s="2">
        <f>IF(VLOOKUP($B121,'Indicator Data (national)'!$B$5:$AQ$14,30,FALSE)="No data","x",IF(VLOOKUP($B121,'Indicator Data (national)'!$B$5:$AQ$14,30,FALSE)&gt;G$150,10,IF(VLOOKUP($B121,'Indicator Data (national)'!$B$5:$AQ$14,30,FALSE)&lt;G$149,0,(G$150-VLOOKUP($B121,'Indicator Data (national)'!$B$5:$AQ$14,30,FALSE))/(G$150-G$149)*10)))</f>
        <v>8.5</v>
      </c>
      <c r="H121" s="2">
        <f>IF(VLOOKUP($B121,'Indicator Data (national)'!$B$5:$AQ$14,29,FALSE)="No data","x",IF(VLOOKUP($B121,'Indicator Data (national)'!$B$5:$AQ$14,29,FALSE)&gt;H$150,10,IF(VLOOKUP($B121,'Indicator Data (national)'!$B$5:$AQ$14,29,FALSE)&lt;H$149,0,(H$150-VLOOKUP($B121,'Indicator Data (national)'!$B$5:$AQ$14,29,FALSE))/(H$150-H$149)*10)))</f>
        <v>7.9709010124206543</v>
      </c>
      <c r="I121" s="3">
        <f t="shared" si="23"/>
        <v>8.2354505062103271</v>
      </c>
      <c r="J121" s="5">
        <f t="shared" si="24"/>
        <v>8.5865719147134811</v>
      </c>
      <c r="K121" s="2" t="str">
        <f>IF(VLOOKUP($B121,'Indicator Data (national)'!$B$5:$AQ$14,33,FALSE)="No data","x",IF(VLOOKUP($B121,'Indicator Data (national)'!$B$5:$AQ$14,33,FALSE)&gt;K$150,10,IF(VLOOKUP($B121,'Indicator Data (national)'!$B$5:$AQ$14,33,FALSE)&lt;K$149,0,(K$150-VLOOKUP($B121,'Indicator Data (national)'!$B$5:$AQ$14,33,FALSE))/(K$150-K$149)*10)))</f>
        <v>x</v>
      </c>
      <c r="L121" s="2">
        <f>IF(VLOOKUP($B121,'Indicator Data (national)'!$B$5:$AQ$14,34,FALSE)="No data","x",IF(VLOOKUP($B121,'Indicator Data (national)'!$B$5:$AQ$14,34,FALSE)&gt;L$150,10,IF(VLOOKUP($B121,'Indicator Data (national)'!$B$5:$AQ$14,34,FALSE)&lt;L$149,0,(L$150-VLOOKUP($B121,'Indicator Data (national)'!$B$5:$AQ$14,34,FALSE))/(L$150-L$149)*10)))</f>
        <v>7.4741640376789604</v>
      </c>
      <c r="M121" s="3">
        <f t="shared" si="25"/>
        <v>7.4741640376789604</v>
      </c>
      <c r="N121" s="2">
        <f>IF(VLOOKUP($B121,'Indicator Data (national)'!$B$5:$AS$14,44,FALSE)="No data","x",IF(VLOOKUP($B121,'Indicator Data (national)'!$B$5:$AS$14,44,FALSE)&gt;N$150,10,IF(VLOOKUP($B121,'Indicator Data (national)'!$B$5:$AS$14,44,FALSE)&lt;N$149,0,10-(N$150-VLOOKUP($B121,'Indicator Data (national)'!$B$5:$AS$14,44,FALSE))/(N$150-N$149)*10)))</f>
        <v>10</v>
      </c>
      <c r="O121" s="2">
        <f>IF(VLOOKUP($B121,'Indicator Data (national)'!$B$5:$AS$14,42,FALSE)="No data","x",IF(VLOOKUP($B121,'Indicator Data (national)'!$B$5:$AS$14,42,FALSE)&gt;O$150,0,IF(VLOOKUP($B121,'Indicator Data (national)'!$B$5:$AS$14,42,FALSE)&lt;O$149,10,(O$150-VLOOKUP($B121,'Indicator Data (national)'!$B$5:$AS$14,42,FALSE))/(O$150-O$149)*10)))</f>
        <v>10</v>
      </c>
      <c r="P121" s="158">
        <f t="shared" si="26"/>
        <v>10</v>
      </c>
      <c r="Q121" s="2">
        <f>IF(VLOOKUP($B121,'Indicator Data (national)'!$B$5:$Q$14,16,FALSE)="No data","x",IF(VLOOKUP($B121,'Indicator Data (national)'!$B$5:$Q$14,16,FALSE)&gt;Q$150,0,IF(VLOOKUP($B121,'Indicator Data (national)'!$B$5:$Q$14,16,FALSE)&lt;Q$149,10,(Q$150-VLOOKUP($B121,'Indicator Data (national)'!$B$5:$Q$14,16,FALSE))/(Q$150-Q$149)*10)))</f>
        <v>9.8475005400000004</v>
      </c>
      <c r="R121" s="158">
        <f t="shared" si="27"/>
        <v>9.8475005400000004</v>
      </c>
      <c r="S121" s="3">
        <f t="shared" si="33"/>
        <v>9.9237502699999993</v>
      </c>
      <c r="T121" s="2">
        <f>IF(VLOOKUP($B121,'Indicator Data (national)'!$B$5:$BC$14,43,FALSE)="No data","x",IF(VLOOKUP($B121,'Indicator Data (national)'!$B$5:$BC$14,43,FALSE)&gt;T$150,10,IF(VLOOKUP($B121,'Indicator Data (national)'!$B$5:$BC$14,43,FALSE)&lt;T$149,0,(T$150-VLOOKUP($B121,'Indicator Data (national)'!$B$5:$BC$14,43,FALSE))/(T$150-T$149)*10)))</f>
        <v>9.6</v>
      </c>
      <c r="U121" s="3">
        <f t="shared" si="28"/>
        <v>9.6</v>
      </c>
      <c r="V121" s="5">
        <f t="shared" si="34"/>
        <v>8.9993047692263204</v>
      </c>
      <c r="W121" s="2">
        <f>IF(VLOOKUP($B121,'Indicator Data (national)'!$B$5:$AS$14,37,FALSE)="No data","x",IF(VLOOKUP($B121,'Indicator Data (national)'!$B$5:$AS$14,37,FALSE)&gt;W$150,10,IF(VLOOKUP($B121,'Indicator Data (national)'!$B$5:$AS$14,37,FALSE)&lt;W$149,0,(LOG(W$150)-LOG(VLOOKUP($B121,'Indicator Data (national)'!$B$5:$AS$14,37,FALSE)))/(LOG(W$150)-LOG(W$149))*10)))</f>
        <v>7.2608683547343569</v>
      </c>
      <c r="X121" s="2">
        <f>IF(VLOOKUP($B121,'Indicator Data (national)'!$B$5:$BB$14,45,FALSE)="No data","x",IF(VLOOKUP($B121,'Indicator Data (national)'!$B$5:$BB$14,45,FALSE)&gt;X$150,10,IF(VLOOKUP($B121,'Indicator Data (national)'!$B$5:$BB$14,45,FALSE)&lt;X$149,0,10-(X$150-VLOOKUP($B121,'Indicator Data (national)'!$B$5:$BB$14,45,FALSE))/(X$150-X$149)*10)))</f>
        <v>10</v>
      </c>
      <c r="Y121" s="2" t="str">
        <f>IF(VLOOKUP($B121,'Indicator Data (national)'!$B$5:$BB$14,46,FALSE)="No data","x",IF(VLOOKUP($B121,'Indicator Data (national)'!$B$5:$BB$14,46,FALSE)&gt;Y$150,10,IF(VLOOKUP($B121,'Indicator Data (national)'!$B$5:$BB$14,46,FALSE)&lt;Y$149,0,(Y$150-VLOOKUP($B121,'Indicator Data (national)'!$B$5:$BB$14,46,FALSE))/(Y$150-Y$149)*10)))</f>
        <v>x</v>
      </c>
      <c r="Z121" s="156">
        <f>IF(VLOOKUP($B121,'Indicator Data (national)'!$B$5:$BB$14,48,FALSE)="No data","x",VLOOKUP($B121,'Indicator Data (national)'!$B$5:$BB$14,47,FALSE)*VLOOKUP($B121,'Indicator Data (national)'!$B$5:$BB$14,48,FALSE))</f>
        <v>207.27272727272725</v>
      </c>
      <c r="AA121" s="2">
        <f t="shared" si="29"/>
        <v>0</v>
      </c>
      <c r="AB121" s="3">
        <f t="shared" si="30"/>
        <v>5.7536227849114523</v>
      </c>
      <c r="AC121" s="2" t="str">
        <f>IF(VLOOKUP($B121,'Indicator Data (national)'!$B$5:$BB$14,49,FALSE)="No data","x",IF(VLOOKUP($B121,'Indicator Data (national)'!$B$5:$BB$14,49,FALSE)&gt;AC$150,0,IF(VLOOKUP($B121,'Indicator Data (national)'!$B$5:$BB$14,49,FALSE)&lt;AC$149,10,(AC$150-VLOOKUP($B121,'Indicator Data (national)'!$B$5:$BB$14,49,FALSE))/(AC$150-AC$149)*10)))</f>
        <v>x</v>
      </c>
      <c r="AD121" s="2" t="str">
        <f>IF(VLOOKUP($B121,'Indicator Data (national)'!$B$5:$BB$14,50,FALSE)="No data","x",IF(VLOOKUP($B121,'Indicator Data (national)'!$B$5:$BB$14,50,FALSE)&gt;AD$150,0,IF(VLOOKUP($B121,'Indicator Data (national)'!$B$5:$BB$14,50,FALSE)&lt;AD$149,10,(AD$150-VLOOKUP($B121,'Indicator Data (national)'!$B$5:$BB$14,50,FALSE))/(AD$150-AD$149)*10)))</f>
        <v>x</v>
      </c>
      <c r="AE121" s="3" t="str">
        <f t="shared" si="31"/>
        <v>x</v>
      </c>
      <c r="AF121" s="2">
        <f>IF(VLOOKUP($B121,'Indicator Data (national)'!$B$5:$BB$14,51,FALSE)="No data","x",IF(VLOOKUP($B121,'Indicator Data (national)'!$B$5:$BB$14,51,FALSE)&gt;AF$150,0,IF(VLOOKUP($B121,'Indicator Data (national)'!$B$5:$BB$14,51,FALSE)&lt;AF$149,10,(AF$150-VLOOKUP($B121,'Indicator Data (national)'!$B$5:$BB$14,51,FALSE))/(AF$150-AF$149)*10)))</f>
        <v>10</v>
      </c>
      <c r="AG121" s="2">
        <f>IF(VLOOKUP($B121,'Indicator Data (national)'!$B$5:$BB$14,52,FALSE)="No data","x",IF(VLOOKUP($B121,'Indicator Data (national)'!$B$5:$BB$14,52,FALSE)&gt;AG$150,0,IF(VLOOKUP($B121,'Indicator Data (national)'!$B$5:$BB$14,52,FALSE)&lt;AG$149,10,(AG$150-VLOOKUP($B121,'Indicator Data (national)'!$B$5:$BB$14,52,FALSE))/(AG$150-AG$149)*10)))</f>
        <v>10</v>
      </c>
      <c r="AH121" s="2" t="str">
        <f>IF(VLOOKUP($B121,'Indicator Data (national)'!$B$5:$BB$14,53,FALSE)="No data","x",IF(VLOOKUP($B121,'Indicator Data (national)'!$B$5:$BB$14,53,FALSE)&gt;AH$150,0,IF(VLOOKUP($B121,'Indicator Data (national)'!$B$5:$BB$14,53,FALSE)&lt;AH$149,10,(AH$150-VLOOKUP($B121,'Indicator Data (national)'!$B$5:$BB$14,53,FALSE))/(AH$150-AH$149)*10)))</f>
        <v>x</v>
      </c>
      <c r="AI121" s="3">
        <f t="shared" si="32"/>
        <v>10</v>
      </c>
      <c r="AJ121" s="5">
        <f t="shared" si="35"/>
        <v>7.8768113924557266</v>
      </c>
    </row>
    <row r="122" spans="1:36" s="11" customFormat="1" x14ac:dyDescent="0.25">
      <c r="A122" s="16" t="s">
        <v>526</v>
      </c>
      <c r="B122" s="11" t="s">
        <v>579</v>
      </c>
      <c r="C122" s="16" t="s">
        <v>527</v>
      </c>
      <c r="D122" s="120">
        <f>(VLOOKUP($B122,'Indicator Data (national)'!$B$5:$AP$14,39,FALSE)+VLOOKUP($B122,'Indicator Data (national)'!$B$5:$AP$14,40,FALSE)+VLOOKUP($B122,'Indicator Data (national)'!$B$5:$AP$14,41,FALSE))/VLOOKUP($B122,'Indicator Data (national)'!$B$5:$AP$14,38,FALSE)*1000000</f>
        <v>0.18517393680263772</v>
      </c>
      <c r="E122" s="2">
        <f t="shared" si="21"/>
        <v>9.0741303159868121</v>
      </c>
      <c r="F122" s="3">
        <f t="shared" si="22"/>
        <v>9.0741303159868121</v>
      </c>
      <c r="G122" s="2">
        <f>IF(VLOOKUP($B122,'Indicator Data (national)'!$B$5:$AQ$14,30,FALSE)="No data","x",IF(VLOOKUP($B122,'Indicator Data (national)'!$B$5:$AQ$14,30,FALSE)&gt;G$150,10,IF(VLOOKUP($B122,'Indicator Data (national)'!$B$5:$AQ$14,30,FALSE)&lt;G$149,0,(G$150-VLOOKUP($B122,'Indicator Data (national)'!$B$5:$AQ$14,30,FALSE))/(G$150-G$149)*10)))</f>
        <v>8.9</v>
      </c>
      <c r="H122" s="2">
        <f>IF(VLOOKUP($B122,'Indicator Data (national)'!$B$5:$AQ$14,29,FALSE)="No data","x",IF(VLOOKUP($B122,'Indicator Data (national)'!$B$5:$AQ$14,29,FALSE)&gt;H$150,10,IF(VLOOKUP($B122,'Indicator Data (national)'!$B$5:$AQ$14,29,FALSE)&lt;H$149,0,(H$150-VLOOKUP($B122,'Indicator Data (national)'!$B$5:$AQ$14,29,FALSE))/(H$150-H$149)*10)))</f>
        <v>8.0628023147583008</v>
      </c>
      <c r="I122" s="3">
        <f t="shared" si="23"/>
        <v>8.4814011573791497</v>
      </c>
      <c r="J122" s="5">
        <f t="shared" si="24"/>
        <v>8.77776573668298</v>
      </c>
      <c r="K122" s="2">
        <f>IF(VLOOKUP($B122,'Indicator Data (national)'!$B$5:$AQ$14,33,FALSE)="No data","x",IF(VLOOKUP($B122,'Indicator Data (national)'!$B$5:$AQ$14,33,FALSE)&gt;K$150,10,IF(VLOOKUP($B122,'Indicator Data (national)'!$B$5:$AQ$14,33,FALSE)&lt;K$149,0,(K$150-VLOOKUP($B122,'Indicator Data (national)'!$B$5:$AQ$14,33,FALSE))/(K$150-K$149)*10)))</f>
        <v>5.4600000000000009</v>
      </c>
      <c r="L122" s="2">
        <f>IF(VLOOKUP($B122,'Indicator Data (national)'!$B$5:$AQ$14,34,FALSE)="No data","x",IF(VLOOKUP($B122,'Indicator Data (national)'!$B$5:$AQ$14,34,FALSE)&gt;L$150,10,IF(VLOOKUP($B122,'Indicator Data (national)'!$B$5:$AQ$14,34,FALSE)&lt;L$149,0,(L$150-VLOOKUP($B122,'Indicator Data (national)'!$B$5:$AQ$14,34,FALSE))/(L$150-L$149)*10)))</f>
        <v>2.7147687093239599</v>
      </c>
      <c r="M122" s="3">
        <f t="shared" si="25"/>
        <v>4.0873843546619799</v>
      </c>
      <c r="N122" s="2">
        <f>IF(VLOOKUP($B122,'Indicator Data (national)'!$B$5:$AS$14,44,FALSE)="No data","x",IF(VLOOKUP($B122,'Indicator Data (national)'!$B$5:$AS$14,44,FALSE)&gt;N$150,10,IF(VLOOKUP($B122,'Indicator Data (national)'!$B$5:$AS$14,44,FALSE)&lt;N$149,0,10-(N$150-VLOOKUP($B122,'Indicator Data (national)'!$B$5:$AS$14,44,FALSE))/(N$150-N$149)*10)))</f>
        <v>3.4444444444444446</v>
      </c>
      <c r="O122" s="2">
        <f>IF(VLOOKUP($B122,'Indicator Data (national)'!$B$5:$AS$14,42,FALSE)="No data","x",IF(VLOOKUP($B122,'Indicator Data (national)'!$B$5:$AS$14,42,FALSE)&gt;O$150,0,IF(VLOOKUP($B122,'Indicator Data (national)'!$B$5:$AS$14,42,FALSE)&lt;O$149,10,(O$150-VLOOKUP($B122,'Indicator Data (national)'!$B$5:$AS$14,42,FALSE))/(O$150-O$149)*10)))</f>
        <v>10</v>
      </c>
      <c r="P122" s="158">
        <f t="shared" si="26"/>
        <v>6.7222222222222223</v>
      </c>
      <c r="Q122" s="2">
        <f>IF(VLOOKUP($B122,'Indicator Data (national)'!$B$5:$Q$14,16,FALSE)="No data","x",IF(VLOOKUP($B122,'Indicator Data (national)'!$B$5:$Q$14,16,FALSE)&gt;Q$150,0,IF(VLOOKUP($B122,'Indicator Data (national)'!$B$5:$Q$14,16,FALSE)&lt;Q$149,10,(Q$150-VLOOKUP($B122,'Indicator Data (national)'!$B$5:$Q$14,16,FALSE))/(Q$150-Q$149)*10)))</f>
        <v>7.1999999999999993</v>
      </c>
      <c r="R122" s="158">
        <f t="shared" si="27"/>
        <v>7.1999999999999993</v>
      </c>
      <c r="S122" s="3">
        <f t="shared" si="33"/>
        <v>6.9611111111111104</v>
      </c>
      <c r="T122" s="2">
        <f>IF(VLOOKUP($B122,'Indicator Data (national)'!$B$5:$BC$14,43,FALSE)="No data","x",IF(VLOOKUP($B122,'Indicator Data (national)'!$B$5:$BC$14,43,FALSE)&gt;T$150,10,IF(VLOOKUP($B122,'Indicator Data (national)'!$B$5:$BC$14,43,FALSE)&lt;T$149,0,(T$150-VLOOKUP($B122,'Indicator Data (national)'!$B$5:$BC$14,43,FALSE))/(T$150-T$149)*10)))</f>
        <v>7.313265781810947</v>
      </c>
      <c r="U122" s="3">
        <f t="shared" si="28"/>
        <v>7.313265781810947</v>
      </c>
      <c r="V122" s="5">
        <f t="shared" si="34"/>
        <v>6.1205870825280124</v>
      </c>
      <c r="W122" s="2">
        <f>IF(VLOOKUP($B122,'Indicator Data (national)'!$B$5:$AS$14,37,FALSE)="No data","x",IF(VLOOKUP($B122,'Indicator Data (national)'!$B$5:$AS$14,37,FALSE)&gt;W$150,10,IF(VLOOKUP($B122,'Indicator Data (national)'!$B$5:$AS$14,37,FALSE)&lt;W$149,0,(LOG(W$150)-LOG(VLOOKUP($B122,'Indicator Data (national)'!$B$5:$AS$14,37,FALSE)))/(LOG(W$150)-LOG(W$149))*10)))</f>
        <v>6.7963495627688042</v>
      </c>
      <c r="X122" s="2">
        <f>IF(VLOOKUP($B122,'Indicator Data (national)'!$B$5:$BB$14,45,FALSE)="No data","x",IF(VLOOKUP($B122,'Indicator Data (national)'!$B$5:$BB$14,45,FALSE)&gt;X$150,10,IF(VLOOKUP($B122,'Indicator Data (national)'!$B$5:$BB$14,45,FALSE)&lt;X$149,0,10-(X$150-VLOOKUP($B122,'Indicator Data (national)'!$B$5:$BB$14,45,FALSE))/(X$150-X$149)*10)))</f>
        <v>9.3333333333333339</v>
      </c>
      <c r="Y122" s="2">
        <f>IF(VLOOKUP($B122,'Indicator Data (national)'!$B$5:$BB$14,46,FALSE)="No data","x",IF(VLOOKUP($B122,'Indicator Data (national)'!$B$5:$BB$14,46,FALSE)&gt;Y$150,10,IF(VLOOKUP($B122,'Indicator Data (national)'!$B$5:$BB$14,46,FALSE)&lt;Y$149,0,(Y$150-VLOOKUP($B122,'Indicator Data (national)'!$B$5:$BB$14,46,FALSE))/(Y$150-Y$149)*10)))</f>
        <v>9</v>
      </c>
      <c r="Z122" s="156">
        <f>IF(VLOOKUP($B122,'Indicator Data (national)'!$B$5:$BB$14,48,FALSE)="No data","x",VLOOKUP($B122,'Indicator Data (national)'!$B$5:$BB$14,47,FALSE)*VLOOKUP($B122,'Indicator Data (national)'!$B$5:$BB$14,48,FALSE))</f>
        <v>16.213609009461287</v>
      </c>
      <c r="AA122" s="2">
        <f t="shared" si="29"/>
        <v>8.3786390990538706</v>
      </c>
      <c r="AB122" s="3">
        <f t="shared" si="30"/>
        <v>8.3770804987890024</v>
      </c>
      <c r="AC122" s="2">
        <f>IF(VLOOKUP($B122,'Indicator Data (national)'!$B$5:$BB$14,49,FALSE)="No data","x",IF(VLOOKUP($B122,'Indicator Data (national)'!$B$5:$BB$14,49,FALSE)&gt;AC$150,0,IF(VLOOKUP($B122,'Indicator Data (national)'!$B$5:$BB$14,49,FALSE)&lt;AC$149,10,(AC$150-VLOOKUP($B122,'Indicator Data (national)'!$B$5:$BB$14,49,FALSE))/(AC$150-AC$149)*10)))</f>
        <v>9.76</v>
      </c>
      <c r="AD122" s="2">
        <f>IF(VLOOKUP($B122,'Indicator Data (national)'!$B$5:$BB$14,50,FALSE)="No data","x",IF(VLOOKUP($B122,'Indicator Data (national)'!$B$5:$BB$14,50,FALSE)&gt;AD$150,0,IF(VLOOKUP($B122,'Indicator Data (national)'!$B$5:$BB$14,50,FALSE)&lt;AD$149,10,(AD$150-VLOOKUP($B122,'Indicator Data (national)'!$B$5:$BB$14,50,FALSE))/(AD$150-AD$149)*10)))</f>
        <v>9.6199999999999992</v>
      </c>
      <c r="AE122" s="3">
        <f t="shared" si="31"/>
        <v>9.69</v>
      </c>
      <c r="AF122" s="2">
        <f>IF(VLOOKUP($B122,'Indicator Data (national)'!$B$5:$BB$14,51,FALSE)="No data","x",IF(VLOOKUP($B122,'Indicator Data (national)'!$B$5:$BB$14,51,FALSE)&gt;AF$150,0,IF(VLOOKUP($B122,'Indicator Data (national)'!$B$5:$BB$14,51,FALSE)&lt;AF$149,10,(AF$150-VLOOKUP($B122,'Indicator Data (national)'!$B$5:$BB$14,51,FALSE))/(AF$150-AF$149)*10)))</f>
        <v>9.2104222882958418</v>
      </c>
      <c r="AG122" s="2">
        <f>IF(VLOOKUP($B122,'Indicator Data (national)'!$B$5:$BB$14,52,FALSE)="No data","x",IF(VLOOKUP($B122,'Indicator Data (national)'!$B$5:$BB$14,52,FALSE)&gt;AG$150,0,IF(VLOOKUP($B122,'Indicator Data (national)'!$B$5:$BB$14,52,FALSE)&lt;AG$149,10,(AG$150-VLOOKUP($B122,'Indicator Data (national)'!$B$5:$BB$14,52,FALSE))/(AG$150-AG$149)*10)))</f>
        <v>1.0626279999999992</v>
      </c>
      <c r="AH122" s="2" t="str">
        <f>IF(VLOOKUP($B122,'Indicator Data (national)'!$B$5:$BB$14,53,FALSE)="No data","x",IF(VLOOKUP($B122,'Indicator Data (national)'!$B$5:$BB$14,53,FALSE)&gt;AH$150,0,IF(VLOOKUP($B122,'Indicator Data (national)'!$B$5:$BB$14,53,FALSE)&lt;AH$149,10,(AH$150-VLOOKUP($B122,'Indicator Data (national)'!$B$5:$BB$14,53,FALSE))/(AH$150-AH$149)*10)))</f>
        <v>x</v>
      </c>
      <c r="AI122" s="3">
        <f t="shared" si="32"/>
        <v>5.1365251441479209</v>
      </c>
      <c r="AJ122" s="5">
        <f t="shared" si="35"/>
        <v>7.7345352143123085</v>
      </c>
    </row>
    <row r="123" spans="1:36" s="11" customFormat="1" x14ac:dyDescent="0.25">
      <c r="A123" s="16" t="s">
        <v>528</v>
      </c>
      <c r="B123" s="11" t="s">
        <v>579</v>
      </c>
      <c r="C123" s="16" t="s">
        <v>529</v>
      </c>
      <c r="D123" s="120">
        <f>(VLOOKUP($B123,'Indicator Data (national)'!$B$5:$AP$14,39,FALSE)+VLOOKUP($B123,'Indicator Data (national)'!$B$5:$AP$14,40,FALSE)+VLOOKUP($B123,'Indicator Data (national)'!$B$5:$AP$14,41,FALSE))/VLOOKUP($B123,'Indicator Data (national)'!$B$5:$AP$14,38,FALSE)*1000000</f>
        <v>0.18517393680263772</v>
      </c>
      <c r="E123" s="2">
        <f t="shared" si="21"/>
        <v>9.0741303159868121</v>
      </c>
      <c r="F123" s="3">
        <f t="shared" si="22"/>
        <v>9.0741303159868121</v>
      </c>
      <c r="G123" s="2">
        <f>IF(VLOOKUP($B123,'Indicator Data (national)'!$B$5:$AQ$14,30,FALSE)="No data","x",IF(VLOOKUP($B123,'Indicator Data (national)'!$B$5:$AQ$14,30,FALSE)&gt;G$150,10,IF(VLOOKUP($B123,'Indicator Data (national)'!$B$5:$AQ$14,30,FALSE)&lt;G$149,0,(G$150-VLOOKUP($B123,'Indicator Data (national)'!$B$5:$AQ$14,30,FALSE))/(G$150-G$149)*10)))</f>
        <v>8.9</v>
      </c>
      <c r="H123" s="2">
        <f>IF(VLOOKUP($B123,'Indicator Data (national)'!$B$5:$AQ$14,29,FALSE)="No data","x",IF(VLOOKUP($B123,'Indicator Data (national)'!$B$5:$AQ$14,29,FALSE)&gt;H$150,10,IF(VLOOKUP($B123,'Indicator Data (national)'!$B$5:$AQ$14,29,FALSE)&lt;H$149,0,(H$150-VLOOKUP($B123,'Indicator Data (national)'!$B$5:$AQ$14,29,FALSE))/(H$150-H$149)*10)))</f>
        <v>8.0628023147583008</v>
      </c>
      <c r="I123" s="3">
        <f t="shared" si="23"/>
        <v>8.4814011573791497</v>
      </c>
      <c r="J123" s="5">
        <f t="shared" si="24"/>
        <v>8.77776573668298</v>
      </c>
      <c r="K123" s="2">
        <f>IF(VLOOKUP($B123,'Indicator Data (national)'!$B$5:$AQ$14,33,FALSE)="No data","x",IF(VLOOKUP($B123,'Indicator Data (national)'!$B$5:$AQ$14,33,FALSE)&gt;K$150,10,IF(VLOOKUP($B123,'Indicator Data (national)'!$B$5:$AQ$14,33,FALSE)&lt;K$149,0,(K$150-VLOOKUP($B123,'Indicator Data (national)'!$B$5:$AQ$14,33,FALSE))/(K$150-K$149)*10)))</f>
        <v>5.4600000000000009</v>
      </c>
      <c r="L123" s="2">
        <f>IF(VLOOKUP($B123,'Indicator Data (national)'!$B$5:$AQ$14,34,FALSE)="No data","x",IF(VLOOKUP($B123,'Indicator Data (national)'!$B$5:$AQ$14,34,FALSE)&gt;L$150,10,IF(VLOOKUP($B123,'Indicator Data (national)'!$B$5:$AQ$14,34,FALSE)&lt;L$149,0,(L$150-VLOOKUP($B123,'Indicator Data (national)'!$B$5:$AQ$14,34,FALSE))/(L$150-L$149)*10)))</f>
        <v>2.7147687093239599</v>
      </c>
      <c r="M123" s="3">
        <f t="shared" si="25"/>
        <v>4.0873843546619799</v>
      </c>
      <c r="N123" s="2">
        <f>IF(VLOOKUP($B123,'Indicator Data (national)'!$B$5:$AS$14,44,FALSE)="No data","x",IF(VLOOKUP($B123,'Indicator Data (national)'!$B$5:$AS$14,44,FALSE)&gt;N$150,10,IF(VLOOKUP($B123,'Indicator Data (national)'!$B$5:$AS$14,44,FALSE)&lt;N$149,0,10-(N$150-VLOOKUP($B123,'Indicator Data (national)'!$B$5:$AS$14,44,FALSE))/(N$150-N$149)*10)))</f>
        <v>3.4444444444444446</v>
      </c>
      <c r="O123" s="2">
        <f>IF(VLOOKUP($B123,'Indicator Data (national)'!$B$5:$AS$14,42,FALSE)="No data","x",IF(VLOOKUP($B123,'Indicator Data (national)'!$B$5:$AS$14,42,FALSE)&gt;O$150,0,IF(VLOOKUP($B123,'Indicator Data (national)'!$B$5:$AS$14,42,FALSE)&lt;O$149,10,(O$150-VLOOKUP($B123,'Indicator Data (national)'!$B$5:$AS$14,42,FALSE))/(O$150-O$149)*10)))</f>
        <v>10</v>
      </c>
      <c r="P123" s="158">
        <f t="shared" si="26"/>
        <v>6.7222222222222223</v>
      </c>
      <c r="Q123" s="2">
        <f>IF(VLOOKUP($B123,'Indicator Data (national)'!$B$5:$Q$14,16,FALSE)="No data","x",IF(VLOOKUP($B123,'Indicator Data (national)'!$B$5:$Q$14,16,FALSE)&gt;Q$150,0,IF(VLOOKUP($B123,'Indicator Data (national)'!$B$5:$Q$14,16,FALSE)&lt;Q$149,10,(Q$150-VLOOKUP($B123,'Indicator Data (national)'!$B$5:$Q$14,16,FALSE))/(Q$150-Q$149)*10)))</f>
        <v>7.1999999999999993</v>
      </c>
      <c r="R123" s="158">
        <f t="shared" si="27"/>
        <v>7.1999999999999993</v>
      </c>
      <c r="S123" s="3">
        <f t="shared" si="33"/>
        <v>6.9611111111111104</v>
      </c>
      <c r="T123" s="2">
        <f>IF(VLOOKUP($B123,'Indicator Data (national)'!$B$5:$BC$14,43,FALSE)="No data","x",IF(VLOOKUP($B123,'Indicator Data (national)'!$B$5:$BC$14,43,FALSE)&gt;T$150,10,IF(VLOOKUP($B123,'Indicator Data (national)'!$B$5:$BC$14,43,FALSE)&lt;T$149,0,(T$150-VLOOKUP($B123,'Indicator Data (national)'!$B$5:$BC$14,43,FALSE))/(T$150-T$149)*10)))</f>
        <v>7.313265781810947</v>
      </c>
      <c r="U123" s="3">
        <f t="shared" si="28"/>
        <v>7.313265781810947</v>
      </c>
      <c r="V123" s="5">
        <f t="shared" si="34"/>
        <v>6.1205870825280124</v>
      </c>
      <c r="W123" s="2">
        <f>IF(VLOOKUP($B123,'Indicator Data (national)'!$B$5:$AS$14,37,FALSE)="No data","x",IF(VLOOKUP($B123,'Indicator Data (national)'!$B$5:$AS$14,37,FALSE)&gt;W$150,10,IF(VLOOKUP($B123,'Indicator Data (national)'!$B$5:$AS$14,37,FALSE)&lt;W$149,0,(LOG(W$150)-LOG(VLOOKUP($B123,'Indicator Data (national)'!$B$5:$AS$14,37,FALSE)))/(LOG(W$150)-LOG(W$149))*10)))</f>
        <v>6.7963495627688042</v>
      </c>
      <c r="X123" s="2">
        <f>IF(VLOOKUP($B123,'Indicator Data (national)'!$B$5:$BB$14,45,FALSE)="No data","x",IF(VLOOKUP($B123,'Indicator Data (national)'!$B$5:$BB$14,45,FALSE)&gt;X$150,10,IF(VLOOKUP($B123,'Indicator Data (national)'!$B$5:$BB$14,45,FALSE)&lt;X$149,0,10-(X$150-VLOOKUP($B123,'Indicator Data (national)'!$B$5:$BB$14,45,FALSE))/(X$150-X$149)*10)))</f>
        <v>9.3333333333333339</v>
      </c>
      <c r="Y123" s="2">
        <f>IF(VLOOKUP($B123,'Indicator Data (national)'!$B$5:$BB$14,46,FALSE)="No data","x",IF(VLOOKUP($B123,'Indicator Data (national)'!$B$5:$BB$14,46,FALSE)&gt;Y$150,10,IF(VLOOKUP($B123,'Indicator Data (national)'!$B$5:$BB$14,46,FALSE)&lt;Y$149,0,(Y$150-VLOOKUP($B123,'Indicator Data (national)'!$B$5:$BB$14,46,FALSE))/(Y$150-Y$149)*10)))</f>
        <v>9</v>
      </c>
      <c r="Z123" s="156">
        <f>IF(VLOOKUP($B123,'Indicator Data (national)'!$B$5:$BB$14,48,FALSE)="No data","x",VLOOKUP($B123,'Indicator Data (national)'!$B$5:$BB$14,47,FALSE)*VLOOKUP($B123,'Indicator Data (national)'!$B$5:$BB$14,48,FALSE))</f>
        <v>16.213609009461287</v>
      </c>
      <c r="AA123" s="2">
        <f t="shared" si="29"/>
        <v>8.3786390990538706</v>
      </c>
      <c r="AB123" s="3">
        <f t="shared" si="30"/>
        <v>8.3770804987890024</v>
      </c>
      <c r="AC123" s="2">
        <f>IF(VLOOKUP($B123,'Indicator Data (national)'!$B$5:$BB$14,49,FALSE)="No data","x",IF(VLOOKUP($B123,'Indicator Data (national)'!$B$5:$BB$14,49,FALSE)&gt;AC$150,0,IF(VLOOKUP($B123,'Indicator Data (national)'!$B$5:$BB$14,49,FALSE)&lt;AC$149,10,(AC$150-VLOOKUP($B123,'Indicator Data (national)'!$B$5:$BB$14,49,FALSE))/(AC$150-AC$149)*10)))</f>
        <v>9.76</v>
      </c>
      <c r="AD123" s="2">
        <f>IF(VLOOKUP($B123,'Indicator Data (national)'!$B$5:$BB$14,50,FALSE)="No data","x",IF(VLOOKUP($B123,'Indicator Data (national)'!$B$5:$BB$14,50,FALSE)&gt;AD$150,0,IF(VLOOKUP($B123,'Indicator Data (national)'!$B$5:$BB$14,50,FALSE)&lt;AD$149,10,(AD$150-VLOOKUP($B123,'Indicator Data (national)'!$B$5:$BB$14,50,FALSE))/(AD$150-AD$149)*10)))</f>
        <v>9.6199999999999992</v>
      </c>
      <c r="AE123" s="3">
        <f t="shared" si="31"/>
        <v>9.69</v>
      </c>
      <c r="AF123" s="2">
        <f>IF(VLOOKUP($B123,'Indicator Data (national)'!$B$5:$BB$14,51,FALSE)="No data","x",IF(VLOOKUP($B123,'Indicator Data (national)'!$B$5:$BB$14,51,FALSE)&gt;AF$150,0,IF(VLOOKUP($B123,'Indicator Data (national)'!$B$5:$BB$14,51,FALSE)&lt;AF$149,10,(AF$150-VLOOKUP($B123,'Indicator Data (national)'!$B$5:$BB$14,51,FALSE))/(AF$150-AF$149)*10)))</f>
        <v>9.2104222882958418</v>
      </c>
      <c r="AG123" s="2">
        <f>IF(VLOOKUP($B123,'Indicator Data (national)'!$B$5:$BB$14,52,FALSE)="No data","x",IF(VLOOKUP($B123,'Indicator Data (national)'!$B$5:$BB$14,52,FALSE)&gt;AG$150,0,IF(VLOOKUP($B123,'Indicator Data (national)'!$B$5:$BB$14,52,FALSE)&lt;AG$149,10,(AG$150-VLOOKUP($B123,'Indicator Data (national)'!$B$5:$BB$14,52,FALSE))/(AG$150-AG$149)*10)))</f>
        <v>1.0626279999999992</v>
      </c>
      <c r="AH123" s="2" t="str">
        <f>IF(VLOOKUP($B123,'Indicator Data (national)'!$B$5:$BB$14,53,FALSE)="No data","x",IF(VLOOKUP($B123,'Indicator Data (national)'!$B$5:$BB$14,53,FALSE)&gt;AH$150,0,IF(VLOOKUP($B123,'Indicator Data (national)'!$B$5:$BB$14,53,FALSE)&lt;AH$149,10,(AH$150-VLOOKUP($B123,'Indicator Data (national)'!$B$5:$BB$14,53,FALSE))/(AH$150-AH$149)*10)))</f>
        <v>x</v>
      </c>
      <c r="AI123" s="3">
        <f t="shared" si="32"/>
        <v>5.1365251441479209</v>
      </c>
      <c r="AJ123" s="5">
        <f t="shared" si="35"/>
        <v>7.7345352143123085</v>
      </c>
    </row>
    <row r="124" spans="1:36" s="11" customFormat="1" x14ac:dyDescent="0.25">
      <c r="A124" s="16" t="s">
        <v>530</v>
      </c>
      <c r="B124" s="11" t="s">
        <v>579</v>
      </c>
      <c r="C124" s="16" t="s">
        <v>531</v>
      </c>
      <c r="D124" s="120">
        <f>(VLOOKUP($B124,'Indicator Data (national)'!$B$5:$AP$14,39,FALSE)+VLOOKUP($B124,'Indicator Data (national)'!$B$5:$AP$14,40,FALSE)+VLOOKUP($B124,'Indicator Data (national)'!$B$5:$AP$14,41,FALSE))/VLOOKUP($B124,'Indicator Data (national)'!$B$5:$AP$14,38,FALSE)*1000000</f>
        <v>0.18517393680263772</v>
      </c>
      <c r="E124" s="2">
        <f t="shared" si="21"/>
        <v>9.0741303159868121</v>
      </c>
      <c r="F124" s="3">
        <f t="shared" si="22"/>
        <v>9.0741303159868121</v>
      </c>
      <c r="G124" s="2">
        <f>IF(VLOOKUP($B124,'Indicator Data (national)'!$B$5:$AQ$14,30,FALSE)="No data","x",IF(VLOOKUP($B124,'Indicator Data (national)'!$B$5:$AQ$14,30,FALSE)&gt;G$150,10,IF(VLOOKUP($B124,'Indicator Data (national)'!$B$5:$AQ$14,30,FALSE)&lt;G$149,0,(G$150-VLOOKUP($B124,'Indicator Data (national)'!$B$5:$AQ$14,30,FALSE))/(G$150-G$149)*10)))</f>
        <v>8.9</v>
      </c>
      <c r="H124" s="2">
        <f>IF(VLOOKUP($B124,'Indicator Data (national)'!$B$5:$AQ$14,29,FALSE)="No data","x",IF(VLOOKUP($B124,'Indicator Data (national)'!$B$5:$AQ$14,29,FALSE)&gt;H$150,10,IF(VLOOKUP($B124,'Indicator Data (national)'!$B$5:$AQ$14,29,FALSE)&lt;H$149,0,(H$150-VLOOKUP($B124,'Indicator Data (national)'!$B$5:$AQ$14,29,FALSE))/(H$150-H$149)*10)))</f>
        <v>8.0628023147583008</v>
      </c>
      <c r="I124" s="3">
        <f t="shared" si="23"/>
        <v>8.4814011573791497</v>
      </c>
      <c r="J124" s="5">
        <f t="shared" si="24"/>
        <v>8.77776573668298</v>
      </c>
      <c r="K124" s="2">
        <f>IF(VLOOKUP($B124,'Indicator Data (national)'!$B$5:$AQ$14,33,FALSE)="No data","x",IF(VLOOKUP($B124,'Indicator Data (national)'!$B$5:$AQ$14,33,FALSE)&gt;K$150,10,IF(VLOOKUP($B124,'Indicator Data (national)'!$B$5:$AQ$14,33,FALSE)&lt;K$149,0,(K$150-VLOOKUP($B124,'Indicator Data (national)'!$B$5:$AQ$14,33,FALSE))/(K$150-K$149)*10)))</f>
        <v>5.4600000000000009</v>
      </c>
      <c r="L124" s="2">
        <f>IF(VLOOKUP($B124,'Indicator Data (national)'!$B$5:$AQ$14,34,FALSE)="No data","x",IF(VLOOKUP($B124,'Indicator Data (national)'!$B$5:$AQ$14,34,FALSE)&gt;L$150,10,IF(VLOOKUP($B124,'Indicator Data (national)'!$B$5:$AQ$14,34,FALSE)&lt;L$149,0,(L$150-VLOOKUP($B124,'Indicator Data (national)'!$B$5:$AQ$14,34,FALSE))/(L$150-L$149)*10)))</f>
        <v>2.7147687093239599</v>
      </c>
      <c r="M124" s="3">
        <f t="shared" si="25"/>
        <v>4.0873843546619799</v>
      </c>
      <c r="N124" s="2">
        <f>IF(VLOOKUP($B124,'Indicator Data (national)'!$B$5:$AS$14,44,FALSE)="No data","x",IF(VLOOKUP($B124,'Indicator Data (national)'!$B$5:$AS$14,44,FALSE)&gt;N$150,10,IF(VLOOKUP($B124,'Indicator Data (national)'!$B$5:$AS$14,44,FALSE)&lt;N$149,0,10-(N$150-VLOOKUP($B124,'Indicator Data (national)'!$B$5:$AS$14,44,FALSE))/(N$150-N$149)*10)))</f>
        <v>3.4444444444444446</v>
      </c>
      <c r="O124" s="2">
        <f>IF(VLOOKUP($B124,'Indicator Data (national)'!$B$5:$AS$14,42,FALSE)="No data","x",IF(VLOOKUP($B124,'Indicator Data (national)'!$B$5:$AS$14,42,FALSE)&gt;O$150,0,IF(VLOOKUP($B124,'Indicator Data (national)'!$B$5:$AS$14,42,FALSE)&lt;O$149,10,(O$150-VLOOKUP($B124,'Indicator Data (national)'!$B$5:$AS$14,42,FALSE))/(O$150-O$149)*10)))</f>
        <v>10</v>
      </c>
      <c r="P124" s="158">
        <f t="shared" si="26"/>
        <v>6.7222222222222223</v>
      </c>
      <c r="Q124" s="2">
        <f>IF(VLOOKUP($B124,'Indicator Data (national)'!$B$5:$Q$14,16,FALSE)="No data","x",IF(VLOOKUP($B124,'Indicator Data (national)'!$B$5:$Q$14,16,FALSE)&gt;Q$150,0,IF(VLOOKUP($B124,'Indicator Data (national)'!$B$5:$Q$14,16,FALSE)&lt;Q$149,10,(Q$150-VLOOKUP($B124,'Indicator Data (national)'!$B$5:$Q$14,16,FALSE))/(Q$150-Q$149)*10)))</f>
        <v>7.1999999999999993</v>
      </c>
      <c r="R124" s="158">
        <f t="shared" si="27"/>
        <v>7.1999999999999993</v>
      </c>
      <c r="S124" s="3">
        <f t="shared" si="33"/>
        <v>6.9611111111111104</v>
      </c>
      <c r="T124" s="2">
        <f>IF(VLOOKUP($B124,'Indicator Data (national)'!$B$5:$BC$14,43,FALSE)="No data","x",IF(VLOOKUP($B124,'Indicator Data (national)'!$B$5:$BC$14,43,FALSE)&gt;T$150,10,IF(VLOOKUP($B124,'Indicator Data (national)'!$B$5:$BC$14,43,FALSE)&lt;T$149,0,(T$150-VLOOKUP($B124,'Indicator Data (national)'!$B$5:$BC$14,43,FALSE))/(T$150-T$149)*10)))</f>
        <v>7.313265781810947</v>
      </c>
      <c r="U124" s="3">
        <f t="shared" si="28"/>
        <v>7.313265781810947</v>
      </c>
      <c r="V124" s="5">
        <f t="shared" si="34"/>
        <v>6.1205870825280124</v>
      </c>
      <c r="W124" s="2">
        <f>IF(VLOOKUP($B124,'Indicator Data (national)'!$B$5:$AS$14,37,FALSE)="No data","x",IF(VLOOKUP($B124,'Indicator Data (national)'!$B$5:$AS$14,37,FALSE)&gt;W$150,10,IF(VLOOKUP($B124,'Indicator Data (national)'!$B$5:$AS$14,37,FALSE)&lt;W$149,0,(LOG(W$150)-LOG(VLOOKUP($B124,'Indicator Data (national)'!$B$5:$AS$14,37,FALSE)))/(LOG(W$150)-LOG(W$149))*10)))</f>
        <v>6.7963495627688042</v>
      </c>
      <c r="X124" s="2">
        <f>IF(VLOOKUP($B124,'Indicator Data (national)'!$B$5:$BB$14,45,FALSE)="No data","x",IF(VLOOKUP($B124,'Indicator Data (national)'!$B$5:$BB$14,45,FALSE)&gt;X$150,10,IF(VLOOKUP($B124,'Indicator Data (national)'!$B$5:$BB$14,45,FALSE)&lt;X$149,0,10-(X$150-VLOOKUP($B124,'Indicator Data (national)'!$B$5:$BB$14,45,FALSE))/(X$150-X$149)*10)))</f>
        <v>9.3333333333333339</v>
      </c>
      <c r="Y124" s="2">
        <f>IF(VLOOKUP($B124,'Indicator Data (national)'!$B$5:$BB$14,46,FALSE)="No data","x",IF(VLOOKUP($B124,'Indicator Data (national)'!$B$5:$BB$14,46,FALSE)&gt;Y$150,10,IF(VLOOKUP($B124,'Indicator Data (national)'!$B$5:$BB$14,46,FALSE)&lt;Y$149,0,(Y$150-VLOOKUP($B124,'Indicator Data (national)'!$B$5:$BB$14,46,FALSE))/(Y$150-Y$149)*10)))</f>
        <v>9</v>
      </c>
      <c r="Z124" s="156">
        <f>IF(VLOOKUP($B124,'Indicator Data (national)'!$B$5:$BB$14,48,FALSE)="No data","x",VLOOKUP($B124,'Indicator Data (national)'!$B$5:$BB$14,47,FALSE)*VLOOKUP($B124,'Indicator Data (national)'!$B$5:$BB$14,48,FALSE))</f>
        <v>16.213609009461287</v>
      </c>
      <c r="AA124" s="2">
        <f t="shared" si="29"/>
        <v>8.3786390990538706</v>
      </c>
      <c r="AB124" s="3">
        <f t="shared" si="30"/>
        <v>8.3770804987890024</v>
      </c>
      <c r="AC124" s="2">
        <f>IF(VLOOKUP($B124,'Indicator Data (national)'!$B$5:$BB$14,49,FALSE)="No data","x",IF(VLOOKUP($B124,'Indicator Data (national)'!$B$5:$BB$14,49,FALSE)&gt;AC$150,0,IF(VLOOKUP($B124,'Indicator Data (national)'!$B$5:$BB$14,49,FALSE)&lt;AC$149,10,(AC$150-VLOOKUP($B124,'Indicator Data (national)'!$B$5:$BB$14,49,FALSE))/(AC$150-AC$149)*10)))</f>
        <v>9.76</v>
      </c>
      <c r="AD124" s="2">
        <f>IF(VLOOKUP($B124,'Indicator Data (national)'!$B$5:$BB$14,50,FALSE)="No data","x",IF(VLOOKUP($B124,'Indicator Data (national)'!$B$5:$BB$14,50,FALSE)&gt;AD$150,0,IF(VLOOKUP($B124,'Indicator Data (national)'!$B$5:$BB$14,50,FALSE)&lt;AD$149,10,(AD$150-VLOOKUP($B124,'Indicator Data (national)'!$B$5:$BB$14,50,FALSE))/(AD$150-AD$149)*10)))</f>
        <v>9.6199999999999992</v>
      </c>
      <c r="AE124" s="3">
        <f t="shared" si="31"/>
        <v>9.69</v>
      </c>
      <c r="AF124" s="2">
        <f>IF(VLOOKUP($B124,'Indicator Data (national)'!$B$5:$BB$14,51,FALSE)="No data","x",IF(VLOOKUP($B124,'Indicator Data (national)'!$B$5:$BB$14,51,FALSE)&gt;AF$150,0,IF(VLOOKUP($B124,'Indicator Data (national)'!$B$5:$BB$14,51,FALSE)&lt;AF$149,10,(AF$150-VLOOKUP($B124,'Indicator Data (national)'!$B$5:$BB$14,51,FALSE))/(AF$150-AF$149)*10)))</f>
        <v>9.2104222882958418</v>
      </c>
      <c r="AG124" s="2">
        <f>IF(VLOOKUP($B124,'Indicator Data (national)'!$B$5:$BB$14,52,FALSE)="No data","x",IF(VLOOKUP($B124,'Indicator Data (national)'!$B$5:$BB$14,52,FALSE)&gt;AG$150,0,IF(VLOOKUP($B124,'Indicator Data (national)'!$B$5:$BB$14,52,FALSE)&lt;AG$149,10,(AG$150-VLOOKUP($B124,'Indicator Data (national)'!$B$5:$BB$14,52,FALSE))/(AG$150-AG$149)*10)))</f>
        <v>1.0626279999999992</v>
      </c>
      <c r="AH124" s="2" t="str">
        <f>IF(VLOOKUP($B124,'Indicator Data (national)'!$B$5:$BB$14,53,FALSE)="No data","x",IF(VLOOKUP($B124,'Indicator Data (national)'!$B$5:$BB$14,53,FALSE)&gt;AH$150,0,IF(VLOOKUP($B124,'Indicator Data (national)'!$B$5:$BB$14,53,FALSE)&lt;AH$149,10,(AH$150-VLOOKUP($B124,'Indicator Data (national)'!$B$5:$BB$14,53,FALSE))/(AH$150-AH$149)*10)))</f>
        <v>x</v>
      </c>
      <c r="AI124" s="3">
        <f t="shared" si="32"/>
        <v>5.1365251441479209</v>
      </c>
      <c r="AJ124" s="5">
        <f t="shared" si="35"/>
        <v>7.7345352143123085</v>
      </c>
    </row>
    <row r="125" spans="1:36" s="11" customFormat="1" x14ac:dyDescent="0.25">
      <c r="A125" s="16" t="s">
        <v>532</v>
      </c>
      <c r="B125" s="11" t="s">
        <v>579</v>
      </c>
      <c r="C125" s="16" t="s">
        <v>533</v>
      </c>
      <c r="D125" s="120">
        <f>(VLOOKUP($B125,'Indicator Data (national)'!$B$5:$AP$14,39,FALSE)+VLOOKUP($B125,'Indicator Data (national)'!$B$5:$AP$14,40,FALSE)+VLOOKUP($B125,'Indicator Data (national)'!$B$5:$AP$14,41,FALSE))/VLOOKUP($B125,'Indicator Data (national)'!$B$5:$AP$14,38,FALSE)*1000000</f>
        <v>0.18517393680263772</v>
      </c>
      <c r="E125" s="2">
        <f t="shared" si="21"/>
        <v>9.0741303159868121</v>
      </c>
      <c r="F125" s="3">
        <f t="shared" si="22"/>
        <v>9.0741303159868121</v>
      </c>
      <c r="G125" s="2">
        <f>IF(VLOOKUP($B125,'Indicator Data (national)'!$B$5:$AQ$14,30,FALSE)="No data","x",IF(VLOOKUP($B125,'Indicator Data (national)'!$B$5:$AQ$14,30,FALSE)&gt;G$150,10,IF(VLOOKUP($B125,'Indicator Data (national)'!$B$5:$AQ$14,30,FALSE)&lt;G$149,0,(G$150-VLOOKUP($B125,'Indicator Data (national)'!$B$5:$AQ$14,30,FALSE))/(G$150-G$149)*10)))</f>
        <v>8.9</v>
      </c>
      <c r="H125" s="2">
        <f>IF(VLOOKUP($B125,'Indicator Data (national)'!$B$5:$AQ$14,29,FALSE)="No data","x",IF(VLOOKUP($B125,'Indicator Data (national)'!$B$5:$AQ$14,29,FALSE)&gt;H$150,10,IF(VLOOKUP($B125,'Indicator Data (national)'!$B$5:$AQ$14,29,FALSE)&lt;H$149,0,(H$150-VLOOKUP($B125,'Indicator Data (national)'!$B$5:$AQ$14,29,FALSE))/(H$150-H$149)*10)))</f>
        <v>8.0628023147583008</v>
      </c>
      <c r="I125" s="3">
        <f t="shared" si="23"/>
        <v>8.4814011573791497</v>
      </c>
      <c r="J125" s="5">
        <f t="shared" si="24"/>
        <v>8.77776573668298</v>
      </c>
      <c r="K125" s="2">
        <f>IF(VLOOKUP($B125,'Indicator Data (national)'!$B$5:$AQ$14,33,FALSE)="No data","x",IF(VLOOKUP($B125,'Indicator Data (national)'!$B$5:$AQ$14,33,FALSE)&gt;K$150,10,IF(VLOOKUP($B125,'Indicator Data (national)'!$B$5:$AQ$14,33,FALSE)&lt;K$149,0,(K$150-VLOOKUP($B125,'Indicator Data (national)'!$B$5:$AQ$14,33,FALSE))/(K$150-K$149)*10)))</f>
        <v>5.4600000000000009</v>
      </c>
      <c r="L125" s="2">
        <f>IF(VLOOKUP($B125,'Indicator Data (national)'!$B$5:$AQ$14,34,FALSE)="No data","x",IF(VLOOKUP($B125,'Indicator Data (national)'!$B$5:$AQ$14,34,FALSE)&gt;L$150,10,IF(VLOOKUP($B125,'Indicator Data (national)'!$B$5:$AQ$14,34,FALSE)&lt;L$149,0,(L$150-VLOOKUP($B125,'Indicator Data (national)'!$B$5:$AQ$14,34,FALSE))/(L$150-L$149)*10)))</f>
        <v>2.7147687093239599</v>
      </c>
      <c r="M125" s="3">
        <f t="shared" si="25"/>
        <v>4.0873843546619799</v>
      </c>
      <c r="N125" s="2">
        <f>IF(VLOOKUP($B125,'Indicator Data (national)'!$B$5:$AS$14,44,FALSE)="No data","x",IF(VLOOKUP($B125,'Indicator Data (national)'!$B$5:$AS$14,44,FALSE)&gt;N$150,10,IF(VLOOKUP($B125,'Indicator Data (national)'!$B$5:$AS$14,44,FALSE)&lt;N$149,0,10-(N$150-VLOOKUP($B125,'Indicator Data (national)'!$B$5:$AS$14,44,FALSE))/(N$150-N$149)*10)))</f>
        <v>3.4444444444444446</v>
      </c>
      <c r="O125" s="2">
        <f>IF(VLOOKUP($B125,'Indicator Data (national)'!$B$5:$AS$14,42,FALSE)="No data","x",IF(VLOOKUP($B125,'Indicator Data (national)'!$B$5:$AS$14,42,FALSE)&gt;O$150,0,IF(VLOOKUP($B125,'Indicator Data (national)'!$B$5:$AS$14,42,FALSE)&lt;O$149,10,(O$150-VLOOKUP($B125,'Indicator Data (national)'!$B$5:$AS$14,42,FALSE))/(O$150-O$149)*10)))</f>
        <v>10</v>
      </c>
      <c r="P125" s="158">
        <f t="shared" si="26"/>
        <v>6.7222222222222223</v>
      </c>
      <c r="Q125" s="2">
        <f>IF(VLOOKUP($B125,'Indicator Data (national)'!$B$5:$Q$14,16,FALSE)="No data","x",IF(VLOOKUP($B125,'Indicator Data (national)'!$B$5:$Q$14,16,FALSE)&gt;Q$150,0,IF(VLOOKUP($B125,'Indicator Data (national)'!$B$5:$Q$14,16,FALSE)&lt;Q$149,10,(Q$150-VLOOKUP($B125,'Indicator Data (national)'!$B$5:$Q$14,16,FALSE))/(Q$150-Q$149)*10)))</f>
        <v>7.1999999999999993</v>
      </c>
      <c r="R125" s="158">
        <f t="shared" si="27"/>
        <v>7.1999999999999993</v>
      </c>
      <c r="S125" s="3">
        <f t="shared" si="33"/>
        <v>6.9611111111111104</v>
      </c>
      <c r="T125" s="2">
        <f>IF(VLOOKUP($B125,'Indicator Data (national)'!$B$5:$BC$14,43,FALSE)="No data","x",IF(VLOOKUP($B125,'Indicator Data (national)'!$B$5:$BC$14,43,FALSE)&gt;T$150,10,IF(VLOOKUP($B125,'Indicator Data (national)'!$B$5:$BC$14,43,FALSE)&lt;T$149,0,(T$150-VLOOKUP($B125,'Indicator Data (national)'!$B$5:$BC$14,43,FALSE))/(T$150-T$149)*10)))</f>
        <v>7.313265781810947</v>
      </c>
      <c r="U125" s="3">
        <f t="shared" si="28"/>
        <v>7.313265781810947</v>
      </c>
      <c r="V125" s="5">
        <f t="shared" si="34"/>
        <v>6.1205870825280124</v>
      </c>
      <c r="W125" s="2">
        <f>IF(VLOOKUP($B125,'Indicator Data (national)'!$B$5:$AS$14,37,FALSE)="No data","x",IF(VLOOKUP($B125,'Indicator Data (national)'!$B$5:$AS$14,37,FALSE)&gt;W$150,10,IF(VLOOKUP($B125,'Indicator Data (national)'!$B$5:$AS$14,37,FALSE)&lt;W$149,0,(LOG(W$150)-LOG(VLOOKUP($B125,'Indicator Data (national)'!$B$5:$AS$14,37,FALSE)))/(LOG(W$150)-LOG(W$149))*10)))</f>
        <v>6.7963495627688042</v>
      </c>
      <c r="X125" s="2">
        <f>IF(VLOOKUP($B125,'Indicator Data (national)'!$B$5:$BB$14,45,FALSE)="No data","x",IF(VLOOKUP($B125,'Indicator Data (national)'!$B$5:$BB$14,45,FALSE)&gt;X$150,10,IF(VLOOKUP($B125,'Indicator Data (national)'!$B$5:$BB$14,45,FALSE)&lt;X$149,0,10-(X$150-VLOOKUP($B125,'Indicator Data (national)'!$B$5:$BB$14,45,FALSE))/(X$150-X$149)*10)))</f>
        <v>9.3333333333333339</v>
      </c>
      <c r="Y125" s="2">
        <f>IF(VLOOKUP($B125,'Indicator Data (national)'!$B$5:$BB$14,46,FALSE)="No data","x",IF(VLOOKUP($B125,'Indicator Data (national)'!$B$5:$BB$14,46,FALSE)&gt;Y$150,10,IF(VLOOKUP($B125,'Indicator Data (national)'!$B$5:$BB$14,46,FALSE)&lt;Y$149,0,(Y$150-VLOOKUP($B125,'Indicator Data (national)'!$B$5:$BB$14,46,FALSE))/(Y$150-Y$149)*10)))</f>
        <v>9</v>
      </c>
      <c r="Z125" s="156">
        <f>IF(VLOOKUP($B125,'Indicator Data (national)'!$B$5:$BB$14,48,FALSE)="No data","x",VLOOKUP($B125,'Indicator Data (national)'!$B$5:$BB$14,47,FALSE)*VLOOKUP($B125,'Indicator Data (national)'!$B$5:$BB$14,48,FALSE))</f>
        <v>16.213609009461287</v>
      </c>
      <c r="AA125" s="2">
        <f t="shared" si="29"/>
        <v>8.3786390990538706</v>
      </c>
      <c r="AB125" s="3">
        <f t="shared" si="30"/>
        <v>8.3770804987890024</v>
      </c>
      <c r="AC125" s="2">
        <f>IF(VLOOKUP($B125,'Indicator Data (national)'!$B$5:$BB$14,49,FALSE)="No data","x",IF(VLOOKUP($B125,'Indicator Data (national)'!$B$5:$BB$14,49,FALSE)&gt;AC$150,0,IF(VLOOKUP($B125,'Indicator Data (national)'!$B$5:$BB$14,49,FALSE)&lt;AC$149,10,(AC$150-VLOOKUP($B125,'Indicator Data (national)'!$B$5:$BB$14,49,FALSE))/(AC$150-AC$149)*10)))</f>
        <v>9.76</v>
      </c>
      <c r="AD125" s="2">
        <f>IF(VLOOKUP($B125,'Indicator Data (national)'!$B$5:$BB$14,50,FALSE)="No data","x",IF(VLOOKUP($B125,'Indicator Data (national)'!$B$5:$BB$14,50,FALSE)&gt;AD$150,0,IF(VLOOKUP($B125,'Indicator Data (national)'!$B$5:$BB$14,50,FALSE)&lt;AD$149,10,(AD$150-VLOOKUP($B125,'Indicator Data (national)'!$B$5:$BB$14,50,FALSE))/(AD$150-AD$149)*10)))</f>
        <v>9.6199999999999992</v>
      </c>
      <c r="AE125" s="3">
        <f t="shared" si="31"/>
        <v>9.69</v>
      </c>
      <c r="AF125" s="2">
        <f>IF(VLOOKUP($B125,'Indicator Data (national)'!$B$5:$BB$14,51,FALSE)="No data","x",IF(VLOOKUP($B125,'Indicator Data (national)'!$B$5:$BB$14,51,FALSE)&gt;AF$150,0,IF(VLOOKUP($B125,'Indicator Data (national)'!$B$5:$BB$14,51,FALSE)&lt;AF$149,10,(AF$150-VLOOKUP($B125,'Indicator Data (national)'!$B$5:$BB$14,51,FALSE))/(AF$150-AF$149)*10)))</f>
        <v>9.2104222882958418</v>
      </c>
      <c r="AG125" s="2">
        <f>IF(VLOOKUP($B125,'Indicator Data (national)'!$B$5:$BB$14,52,FALSE)="No data","x",IF(VLOOKUP($B125,'Indicator Data (national)'!$B$5:$BB$14,52,FALSE)&gt;AG$150,0,IF(VLOOKUP($B125,'Indicator Data (national)'!$B$5:$BB$14,52,FALSE)&lt;AG$149,10,(AG$150-VLOOKUP($B125,'Indicator Data (national)'!$B$5:$BB$14,52,FALSE))/(AG$150-AG$149)*10)))</f>
        <v>1.0626279999999992</v>
      </c>
      <c r="AH125" s="2" t="str">
        <f>IF(VLOOKUP($B125,'Indicator Data (national)'!$B$5:$BB$14,53,FALSE)="No data","x",IF(VLOOKUP($B125,'Indicator Data (national)'!$B$5:$BB$14,53,FALSE)&gt;AH$150,0,IF(VLOOKUP($B125,'Indicator Data (national)'!$B$5:$BB$14,53,FALSE)&lt;AH$149,10,(AH$150-VLOOKUP($B125,'Indicator Data (national)'!$B$5:$BB$14,53,FALSE))/(AH$150-AH$149)*10)))</f>
        <v>x</v>
      </c>
      <c r="AI125" s="3">
        <f t="shared" si="32"/>
        <v>5.1365251441479209</v>
      </c>
      <c r="AJ125" s="5">
        <f t="shared" si="35"/>
        <v>7.7345352143123085</v>
      </c>
    </row>
    <row r="126" spans="1:36" s="11" customFormat="1" x14ac:dyDescent="0.25">
      <c r="A126" s="16" t="s">
        <v>534</v>
      </c>
      <c r="B126" s="11" t="s">
        <v>579</v>
      </c>
      <c r="C126" s="16" t="s">
        <v>535</v>
      </c>
      <c r="D126" s="120">
        <f>(VLOOKUP($B126,'Indicator Data (national)'!$B$5:$AP$14,39,FALSE)+VLOOKUP($B126,'Indicator Data (national)'!$B$5:$AP$14,40,FALSE)+VLOOKUP($B126,'Indicator Data (national)'!$B$5:$AP$14,41,FALSE))/VLOOKUP($B126,'Indicator Data (national)'!$B$5:$AP$14,38,FALSE)*1000000</f>
        <v>0.18517393680263772</v>
      </c>
      <c r="E126" s="2">
        <f t="shared" si="21"/>
        <v>9.0741303159868121</v>
      </c>
      <c r="F126" s="3">
        <f t="shared" si="22"/>
        <v>9.0741303159868121</v>
      </c>
      <c r="G126" s="2">
        <f>IF(VLOOKUP($B126,'Indicator Data (national)'!$B$5:$AQ$14,30,FALSE)="No data","x",IF(VLOOKUP($B126,'Indicator Data (national)'!$B$5:$AQ$14,30,FALSE)&gt;G$150,10,IF(VLOOKUP($B126,'Indicator Data (national)'!$B$5:$AQ$14,30,FALSE)&lt;G$149,0,(G$150-VLOOKUP($B126,'Indicator Data (national)'!$B$5:$AQ$14,30,FALSE))/(G$150-G$149)*10)))</f>
        <v>8.9</v>
      </c>
      <c r="H126" s="2">
        <f>IF(VLOOKUP($B126,'Indicator Data (national)'!$B$5:$AQ$14,29,FALSE)="No data","x",IF(VLOOKUP($B126,'Indicator Data (national)'!$B$5:$AQ$14,29,FALSE)&gt;H$150,10,IF(VLOOKUP($B126,'Indicator Data (national)'!$B$5:$AQ$14,29,FALSE)&lt;H$149,0,(H$150-VLOOKUP($B126,'Indicator Data (national)'!$B$5:$AQ$14,29,FALSE))/(H$150-H$149)*10)))</f>
        <v>8.0628023147583008</v>
      </c>
      <c r="I126" s="3">
        <f t="shared" si="23"/>
        <v>8.4814011573791497</v>
      </c>
      <c r="J126" s="5">
        <f t="shared" si="24"/>
        <v>8.77776573668298</v>
      </c>
      <c r="K126" s="2">
        <f>IF(VLOOKUP($B126,'Indicator Data (national)'!$B$5:$AQ$14,33,FALSE)="No data","x",IF(VLOOKUP($B126,'Indicator Data (national)'!$B$5:$AQ$14,33,FALSE)&gt;K$150,10,IF(VLOOKUP($B126,'Indicator Data (national)'!$B$5:$AQ$14,33,FALSE)&lt;K$149,0,(K$150-VLOOKUP($B126,'Indicator Data (national)'!$B$5:$AQ$14,33,FALSE))/(K$150-K$149)*10)))</f>
        <v>5.4600000000000009</v>
      </c>
      <c r="L126" s="2">
        <f>IF(VLOOKUP($B126,'Indicator Data (national)'!$B$5:$AQ$14,34,FALSE)="No data","x",IF(VLOOKUP($B126,'Indicator Data (national)'!$B$5:$AQ$14,34,FALSE)&gt;L$150,10,IF(VLOOKUP($B126,'Indicator Data (national)'!$B$5:$AQ$14,34,FALSE)&lt;L$149,0,(L$150-VLOOKUP($B126,'Indicator Data (national)'!$B$5:$AQ$14,34,FALSE))/(L$150-L$149)*10)))</f>
        <v>2.7147687093239599</v>
      </c>
      <c r="M126" s="3">
        <f t="shared" si="25"/>
        <v>4.0873843546619799</v>
      </c>
      <c r="N126" s="2">
        <f>IF(VLOOKUP($B126,'Indicator Data (national)'!$B$5:$AS$14,44,FALSE)="No data","x",IF(VLOOKUP($B126,'Indicator Data (national)'!$B$5:$AS$14,44,FALSE)&gt;N$150,10,IF(VLOOKUP($B126,'Indicator Data (national)'!$B$5:$AS$14,44,FALSE)&lt;N$149,0,10-(N$150-VLOOKUP($B126,'Indicator Data (national)'!$B$5:$AS$14,44,FALSE))/(N$150-N$149)*10)))</f>
        <v>3.4444444444444446</v>
      </c>
      <c r="O126" s="2">
        <f>IF(VLOOKUP($B126,'Indicator Data (national)'!$B$5:$AS$14,42,FALSE)="No data","x",IF(VLOOKUP($B126,'Indicator Data (national)'!$B$5:$AS$14,42,FALSE)&gt;O$150,0,IF(VLOOKUP($B126,'Indicator Data (national)'!$B$5:$AS$14,42,FALSE)&lt;O$149,10,(O$150-VLOOKUP($B126,'Indicator Data (national)'!$B$5:$AS$14,42,FALSE))/(O$150-O$149)*10)))</f>
        <v>10</v>
      </c>
      <c r="P126" s="158">
        <f t="shared" si="26"/>
        <v>6.7222222222222223</v>
      </c>
      <c r="Q126" s="2">
        <f>IF(VLOOKUP($B126,'Indicator Data (national)'!$B$5:$Q$14,16,FALSE)="No data","x",IF(VLOOKUP($B126,'Indicator Data (national)'!$B$5:$Q$14,16,FALSE)&gt;Q$150,0,IF(VLOOKUP($B126,'Indicator Data (national)'!$B$5:$Q$14,16,FALSE)&lt;Q$149,10,(Q$150-VLOOKUP($B126,'Indicator Data (national)'!$B$5:$Q$14,16,FALSE))/(Q$150-Q$149)*10)))</f>
        <v>7.1999999999999993</v>
      </c>
      <c r="R126" s="158">
        <f t="shared" si="27"/>
        <v>7.1999999999999993</v>
      </c>
      <c r="S126" s="3">
        <f t="shared" si="33"/>
        <v>6.9611111111111104</v>
      </c>
      <c r="T126" s="2">
        <f>IF(VLOOKUP($B126,'Indicator Data (national)'!$B$5:$BC$14,43,FALSE)="No data","x",IF(VLOOKUP($B126,'Indicator Data (national)'!$B$5:$BC$14,43,FALSE)&gt;T$150,10,IF(VLOOKUP($B126,'Indicator Data (national)'!$B$5:$BC$14,43,FALSE)&lt;T$149,0,(T$150-VLOOKUP($B126,'Indicator Data (national)'!$B$5:$BC$14,43,FALSE))/(T$150-T$149)*10)))</f>
        <v>7.313265781810947</v>
      </c>
      <c r="U126" s="3">
        <f t="shared" si="28"/>
        <v>7.313265781810947</v>
      </c>
      <c r="V126" s="5">
        <f t="shared" si="34"/>
        <v>6.1205870825280124</v>
      </c>
      <c r="W126" s="2">
        <f>IF(VLOOKUP($B126,'Indicator Data (national)'!$B$5:$AS$14,37,FALSE)="No data","x",IF(VLOOKUP($B126,'Indicator Data (national)'!$B$5:$AS$14,37,FALSE)&gt;W$150,10,IF(VLOOKUP($B126,'Indicator Data (national)'!$B$5:$AS$14,37,FALSE)&lt;W$149,0,(LOG(W$150)-LOG(VLOOKUP($B126,'Indicator Data (national)'!$B$5:$AS$14,37,FALSE)))/(LOG(W$150)-LOG(W$149))*10)))</f>
        <v>6.7963495627688042</v>
      </c>
      <c r="X126" s="2">
        <f>IF(VLOOKUP($B126,'Indicator Data (national)'!$B$5:$BB$14,45,FALSE)="No data","x",IF(VLOOKUP($B126,'Indicator Data (national)'!$B$5:$BB$14,45,FALSE)&gt;X$150,10,IF(VLOOKUP($B126,'Indicator Data (national)'!$B$5:$BB$14,45,FALSE)&lt;X$149,0,10-(X$150-VLOOKUP($B126,'Indicator Data (national)'!$B$5:$BB$14,45,FALSE))/(X$150-X$149)*10)))</f>
        <v>9.3333333333333339</v>
      </c>
      <c r="Y126" s="2">
        <f>IF(VLOOKUP($B126,'Indicator Data (national)'!$B$5:$BB$14,46,FALSE)="No data","x",IF(VLOOKUP($B126,'Indicator Data (national)'!$B$5:$BB$14,46,FALSE)&gt;Y$150,10,IF(VLOOKUP($B126,'Indicator Data (national)'!$B$5:$BB$14,46,FALSE)&lt;Y$149,0,(Y$150-VLOOKUP($B126,'Indicator Data (national)'!$B$5:$BB$14,46,FALSE))/(Y$150-Y$149)*10)))</f>
        <v>9</v>
      </c>
      <c r="Z126" s="156">
        <f>IF(VLOOKUP($B126,'Indicator Data (national)'!$B$5:$BB$14,48,FALSE)="No data","x",VLOOKUP($B126,'Indicator Data (national)'!$B$5:$BB$14,47,FALSE)*VLOOKUP($B126,'Indicator Data (national)'!$B$5:$BB$14,48,FALSE))</f>
        <v>16.213609009461287</v>
      </c>
      <c r="AA126" s="2">
        <f t="shared" si="29"/>
        <v>8.3786390990538706</v>
      </c>
      <c r="AB126" s="3">
        <f t="shared" si="30"/>
        <v>8.3770804987890024</v>
      </c>
      <c r="AC126" s="2">
        <f>IF(VLOOKUP($B126,'Indicator Data (national)'!$B$5:$BB$14,49,FALSE)="No data","x",IF(VLOOKUP($B126,'Indicator Data (national)'!$B$5:$BB$14,49,FALSE)&gt;AC$150,0,IF(VLOOKUP($B126,'Indicator Data (national)'!$B$5:$BB$14,49,FALSE)&lt;AC$149,10,(AC$150-VLOOKUP($B126,'Indicator Data (national)'!$B$5:$BB$14,49,FALSE))/(AC$150-AC$149)*10)))</f>
        <v>9.76</v>
      </c>
      <c r="AD126" s="2">
        <f>IF(VLOOKUP($B126,'Indicator Data (national)'!$B$5:$BB$14,50,FALSE)="No data","x",IF(VLOOKUP($B126,'Indicator Data (national)'!$B$5:$BB$14,50,FALSE)&gt;AD$150,0,IF(VLOOKUP($B126,'Indicator Data (national)'!$B$5:$BB$14,50,FALSE)&lt;AD$149,10,(AD$150-VLOOKUP($B126,'Indicator Data (national)'!$B$5:$BB$14,50,FALSE))/(AD$150-AD$149)*10)))</f>
        <v>9.6199999999999992</v>
      </c>
      <c r="AE126" s="3">
        <f t="shared" si="31"/>
        <v>9.69</v>
      </c>
      <c r="AF126" s="2">
        <f>IF(VLOOKUP($B126,'Indicator Data (national)'!$B$5:$BB$14,51,FALSE)="No data","x",IF(VLOOKUP($B126,'Indicator Data (national)'!$B$5:$BB$14,51,FALSE)&gt;AF$150,0,IF(VLOOKUP($B126,'Indicator Data (national)'!$B$5:$BB$14,51,FALSE)&lt;AF$149,10,(AF$150-VLOOKUP($B126,'Indicator Data (national)'!$B$5:$BB$14,51,FALSE))/(AF$150-AF$149)*10)))</f>
        <v>9.2104222882958418</v>
      </c>
      <c r="AG126" s="2">
        <f>IF(VLOOKUP($B126,'Indicator Data (national)'!$B$5:$BB$14,52,FALSE)="No data","x",IF(VLOOKUP($B126,'Indicator Data (national)'!$B$5:$BB$14,52,FALSE)&gt;AG$150,0,IF(VLOOKUP($B126,'Indicator Data (national)'!$B$5:$BB$14,52,FALSE)&lt;AG$149,10,(AG$150-VLOOKUP($B126,'Indicator Data (national)'!$B$5:$BB$14,52,FALSE))/(AG$150-AG$149)*10)))</f>
        <v>1.0626279999999992</v>
      </c>
      <c r="AH126" s="2" t="str">
        <f>IF(VLOOKUP($B126,'Indicator Data (national)'!$B$5:$BB$14,53,FALSE)="No data","x",IF(VLOOKUP($B126,'Indicator Data (national)'!$B$5:$BB$14,53,FALSE)&gt;AH$150,0,IF(VLOOKUP($B126,'Indicator Data (national)'!$B$5:$BB$14,53,FALSE)&lt;AH$149,10,(AH$150-VLOOKUP($B126,'Indicator Data (national)'!$B$5:$BB$14,53,FALSE))/(AH$150-AH$149)*10)))</f>
        <v>x</v>
      </c>
      <c r="AI126" s="3">
        <f t="shared" si="32"/>
        <v>5.1365251441479209</v>
      </c>
      <c r="AJ126" s="5">
        <f t="shared" si="35"/>
        <v>7.7345352143123085</v>
      </c>
    </row>
    <row r="127" spans="1:36" s="11" customFormat="1" x14ac:dyDescent="0.25">
      <c r="A127" s="16" t="s">
        <v>536</v>
      </c>
      <c r="B127" s="11" t="s">
        <v>579</v>
      </c>
      <c r="C127" s="16" t="s">
        <v>537</v>
      </c>
      <c r="D127" s="120">
        <f>(VLOOKUP($B127,'Indicator Data (national)'!$B$5:$AP$14,39,FALSE)+VLOOKUP($B127,'Indicator Data (national)'!$B$5:$AP$14,40,FALSE)+VLOOKUP($B127,'Indicator Data (national)'!$B$5:$AP$14,41,FALSE))/VLOOKUP($B127,'Indicator Data (national)'!$B$5:$AP$14,38,FALSE)*1000000</f>
        <v>0.18517393680263772</v>
      </c>
      <c r="E127" s="2">
        <f t="shared" si="21"/>
        <v>9.0741303159868121</v>
      </c>
      <c r="F127" s="3">
        <f t="shared" si="22"/>
        <v>9.0741303159868121</v>
      </c>
      <c r="G127" s="2">
        <f>IF(VLOOKUP($B127,'Indicator Data (national)'!$B$5:$AQ$14,30,FALSE)="No data","x",IF(VLOOKUP($B127,'Indicator Data (national)'!$B$5:$AQ$14,30,FALSE)&gt;G$150,10,IF(VLOOKUP($B127,'Indicator Data (national)'!$B$5:$AQ$14,30,FALSE)&lt;G$149,0,(G$150-VLOOKUP($B127,'Indicator Data (national)'!$B$5:$AQ$14,30,FALSE))/(G$150-G$149)*10)))</f>
        <v>8.9</v>
      </c>
      <c r="H127" s="2">
        <f>IF(VLOOKUP($B127,'Indicator Data (national)'!$B$5:$AQ$14,29,FALSE)="No data","x",IF(VLOOKUP($B127,'Indicator Data (national)'!$B$5:$AQ$14,29,FALSE)&gt;H$150,10,IF(VLOOKUP($B127,'Indicator Data (national)'!$B$5:$AQ$14,29,FALSE)&lt;H$149,0,(H$150-VLOOKUP($B127,'Indicator Data (national)'!$B$5:$AQ$14,29,FALSE))/(H$150-H$149)*10)))</f>
        <v>8.0628023147583008</v>
      </c>
      <c r="I127" s="3">
        <f t="shared" si="23"/>
        <v>8.4814011573791497</v>
      </c>
      <c r="J127" s="5">
        <f t="shared" si="24"/>
        <v>8.77776573668298</v>
      </c>
      <c r="K127" s="2">
        <f>IF(VLOOKUP($B127,'Indicator Data (national)'!$B$5:$AQ$14,33,FALSE)="No data","x",IF(VLOOKUP($B127,'Indicator Data (national)'!$B$5:$AQ$14,33,FALSE)&gt;K$150,10,IF(VLOOKUP($B127,'Indicator Data (national)'!$B$5:$AQ$14,33,FALSE)&lt;K$149,0,(K$150-VLOOKUP($B127,'Indicator Data (national)'!$B$5:$AQ$14,33,FALSE))/(K$150-K$149)*10)))</f>
        <v>5.4600000000000009</v>
      </c>
      <c r="L127" s="2">
        <f>IF(VLOOKUP($B127,'Indicator Data (national)'!$B$5:$AQ$14,34,FALSE)="No data","x",IF(VLOOKUP($B127,'Indicator Data (national)'!$B$5:$AQ$14,34,FALSE)&gt;L$150,10,IF(VLOOKUP($B127,'Indicator Data (national)'!$B$5:$AQ$14,34,FALSE)&lt;L$149,0,(L$150-VLOOKUP($B127,'Indicator Data (national)'!$B$5:$AQ$14,34,FALSE))/(L$150-L$149)*10)))</f>
        <v>2.7147687093239599</v>
      </c>
      <c r="M127" s="3">
        <f t="shared" si="25"/>
        <v>4.0873843546619799</v>
      </c>
      <c r="N127" s="2">
        <f>IF(VLOOKUP($B127,'Indicator Data (national)'!$B$5:$AS$14,44,FALSE)="No data","x",IF(VLOOKUP($B127,'Indicator Data (national)'!$B$5:$AS$14,44,FALSE)&gt;N$150,10,IF(VLOOKUP($B127,'Indicator Data (national)'!$B$5:$AS$14,44,FALSE)&lt;N$149,0,10-(N$150-VLOOKUP($B127,'Indicator Data (national)'!$B$5:$AS$14,44,FALSE))/(N$150-N$149)*10)))</f>
        <v>3.4444444444444446</v>
      </c>
      <c r="O127" s="2">
        <f>IF(VLOOKUP($B127,'Indicator Data (national)'!$B$5:$AS$14,42,FALSE)="No data","x",IF(VLOOKUP($B127,'Indicator Data (national)'!$B$5:$AS$14,42,FALSE)&gt;O$150,0,IF(VLOOKUP($B127,'Indicator Data (national)'!$B$5:$AS$14,42,FALSE)&lt;O$149,10,(O$150-VLOOKUP($B127,'Indicator Data (national)'!$B$5:$AS$14,42,FALSE))/(O$150-O$149)*10)))</f>
        <v>10</v>
      </c>
      <c r="P127" s="158">
        <f t="shared" si="26"/>
        <v>6.7222222222222223</v>
      </c>
      <c r="Q127" s="2">
        <f>IF(VLOOKUP($B127,'Indicator Data (national)'!$B$5:$Q$14,16,FALSE)="No data","x",IF(VLOOKUP($B127,'Indicator Data (national)'!$B$5:$Q$14,16,FALSE)&gt;Q$150,0,IF(VLOOKUP($B127,'Indicator Data (national)'!$B$5:$Q$14,16,FALSE)&lt;Q$149,10,(Q$150-VLOOKUP($B127,'Indicator Data (national)'!$B$5:$Q$14,16,FALSE))/(Q$150-Q$149)*10)))</f>
        <v>7.1999999999999993</v>
      </c>
      <c r="R127" s="158">
        <f t="shared" si="27"/>
        <v>7.1999999999999993</v>
      </c>
      <c r="S127" s="3">
        <f t="shared" si="33"/>
        <v>6.9611111111111104</v>
      </c>
      <c r="T127" s="2">
        <f>IF(VLOOKUP($B127,'Indicator Data (national)'!$B$5:$BC$14,43,FALSE)="No data","x",IF(VLOOKUP($B127,'Indicator Data (national)'!$B$5:$BC$14,43,FALSE)&gt;T$150,10,IF(VLOOKUP($B127,'Indicator Data (national)'!$B$5:$BC$14,43,FALSE)&lt;T$149,0,(T$150-VLOOKUP($B127,'Indicator Data (national)'!$B$5:$BC$14,43,FALSE))/(T$150-T$149)*10)))</f>
        <v>7.313265781810947</v>
      </c>
      <c r="U127" s="3">
        <f t="shared" si="28"/>
        <v>7.313265781810947</v>
      </c>
      <c r="V127" s="5">
        <f t="shared" si="34"/>
        <v>6.1205870825280124</v>
      </c>
      <c r="W127" s="2">
        <f>IF(VLOOKUP($B127,'Indicator Data (national)'!$B$5:$AS$14,37,FALSE)="No data","x",IF(VLOOKUP($B127,'Indicator Data (national)'!$B$5:$AS$14,37,FALSE)&gt;W$150,10,IF(VLOOKUP($B127,'Indicator Data (national)'!$B$5:$AS$14,37,FALSE)&lt;W$149,0,(LOG(W$150)-LOG(VLOOKUP($B127,'Indicator Data (national)'!$B$5:$AS$14,37,FALSE)))/(LOG(W$150)-LOG(W$149))*10)))</f>
        <v>6.7963495627688042</v>
      </c>
      <c r="X127" s="2">
        <f>IF(VLOOKUP($B127,'Indicator Data (national)'!$B$5:$BB$14,45,FALSE)="No data","x",IF(VLOOKUP($B127,'Indicator Data (national)'!$B$5:$BB$14,45,FALSE)&gt;X$150,10,IF(VLOOKUP($B127,'Indicator Data (national)'!$B$5:$BB$14,45,FALSE)&lt;X$149,0,10-(X$150-VLOOKUP($B127,'Indicator Data (national)'!$B$5:$BB$14,45,FALSE))/(X$150-X$149)*10)))</f>
        <v>9.3333333333333339</v>
      </c>
      <c r="Y127" s="2">
        <f>IF(VLOOKUP($B127,'Indicator Data (national)'!$B$5:$BB$14,46,FALSE)="No data","x",IF(VLOOKUP($B127,'Indicator Data (national)'!$B$5:$BB$14,46,FALSE)&gt;Y$150,10,IF(VLOOKUP($B127,'Indicator Data (national)'!$B$5:$BB$14,46,FALSE)&lt;Y$149,0,(Y$150-VLOOKUP($B127,'Indicator Data (national)'!$B$5:$BB$14,46,FALSE))/(Y$150-Y$149)*10)))</f>
        <v>9</v>
      </c>
      <c r="Z127" s="156">
        <f>IF(VLOOKUP($B127,'Indicator Data (national)'!$B$5:$BB$14,48,FALSE)="No data","x",VLOOKUP($B127,'Indicator Data (national)'!$B$5:$BB$14,47,FALSE)*VLOOKUP($B127,'Indicator Data (national)'!$B$5:$BB$14,48,FALSE))</f>
        <v>16.213609009461287</v>
      </c>
      <c r="AA127" s="2">
        <f t="shared" si="29"/>
        <v>8.3786390990538706</v>
      </c>
      <c r="AB127" s="3">
        <f t="shared" si="30"/>
        <v>8.3770804987890024</v>
      </c>
      <c r="AC127" s="2">
        <f>IF(VLOOKUP($B127,'Indicator Data (national)'!$B$5:$BB$14,49,FALSE)="No data","x",IF(VLOOKUP($B127,'Indicator Data (national)'!$B$5:$BB$14,49,FALSE)&gt;AC$150,0,IF(VLOOKUP($B127,'Indicator Data (national)'!$B$5:$BB$14,49,FALSE)&lt;AC$149,10,(AC$150-VLOOKUP($B127,'Indicator Data (national)'!$B$5:$BB$14,49,FALSE))/(AC$150-AC$149)*10)))</f>
        <v>9.76</v>
      </c>
      <c r="AD127" s="2">
        <f>IF(VLOOKUP($B127,'Indicator Data (national)'!$B$5:$BB$14,50,FALSE)="No data","x",IF(VLOOKUP($B127,'Indicator Data (national)'!$B$5:$BB$14,50,FALSE)&gt;AD$150,0,IF(VLOOKUP($B127,'Indicator Data (national)'!$B$5:$BB$14,50,FALSE)&lt;AD$149,10,(AD$150-VLOOKUP($B127,'Indicator Data (national)'!$B$5:$BB$14,50,FALSE))/(AD$150-AD$149)*10)))</f>
        <v>9.6199999999999992</v>
      </c>
      <c r="AE127" s="3">
        <f t="shared" si="31"/>
        <v>9.69</v>
      </c>
      <c r="AF127" s="2">
        <f>IF(VLOOKUP($B127,'Indicator Data (national)'!$B$5:$BB$14,51,FALSE)="No data","x",IF(VLOOKUP($B127,'Indicator Data (national)'!$B$5:$BB$14,51,FALSE)&gt;AF$150,0,IF(VLOOKUP($B127,'Indicator Data (national)'!$B$5:$BB$14,51,FALSE)&lt;AF$149,10,(AF$150-VLOOKUP($B127,'Indicator Data (national)'!$B$5:$BB$14,51,FALSE))/(AF$150-AF$149)*10)))</f>
        <v>9.2104222882958418</v>
      </c>
      <c r="AG127" s="2">
        <f>IF(VLOOKUP($B127,'Indicator Data (national)'!$B$5:$BB$14,52,FALSE)="No data","x",IF(VLOOKUP($B127,'Indicator Data (national)'!$B$5:$BB$14,52,FALSE)&gt;AG$150,0,IF(VLOOKUP($B127,'Indicator Data (national)'!$B$5:$BB$14,52,FALSE)&lt;AG$149,10,(AG$150-VLOOKUP($B127,'Indicator Data (national)'!$B$5:$BB$14,52,FALSE))/(AG$150-AG$149)*10)))</f>
        <v>1.0626279999999992</v>
      </c>
      <c r="AH127" s="2" t="str">
        <f>IF(VLOOKUP($B127,'Indicator Data (national)'!$B$5:$BB$14,53,FALSE)="No data","x",IF(VLOOKUP($B127,'Indicator Data (national)'!$B$5:$BB$14,53,FALSE)&gt;AH$150,0,IF(VLOOKUP($B127,'Indicator Data (national)'!$B$5:$BB$14,53,FALSE)&lt;AH$149,10,(AH$150-VLOOKUP($B127,'Indicator Data (national)'!$B$5:$BB$14,53,FALSE))/(AH$150-AH$149)*10)))</f>
        <v>x</v>
      </c>
      <c r="AI127" s="3">
        <f t="shared" si="32"/>
        <v>5.1365251441479209</v>
      </c>
      <c r="AJ127" s="5">
        <f t="shared" si="35"/>
        <v>7.7345352143123085</v>
      </c>
    </row>
    <row r="128" spans="1:36" s="11" customFormat="1" x14ac:dyDescent="0.25">
      <c r="A128" s="16" t="s">
        <v>538</v>
      </c>
      <c r="B128" s="11" t="s">
        <v>579</v>
      </c>
      <c r="C128" s="16" t="s">
        <v>539</v>
      </c>
      <c r="D128" s="120">
        <f>(VLOOKUP($B128,'Indicator Data (national)'!$B$5:$AP$14,39,FALSE)+VLOOKUP($B128,'Indicator Data (national)'!$B$5:$AP$14,40,FALSE)+VLOOKUP($B128,'Indicator Data (national)'!$B$5:$AP$14,41,FALSE))/VLOOKUP($B128,'Indicator Data (national)'!$B$5:$AP$14,38,FALSE)*1000000</f>
        <v>0.18517393680263772</v>
      </c>
      <c r="E128" s="2">
        <f t="shared" si="21"/>
        <v>9.0741303159868121</v>
      </c>
      <c r="F128" s="3">
        <f t="shared" si="22"/>
        <v>9.0741303159868121</v>
      </c>
      <c r="G128" s="2">
        <f>IF(VLOOKUP($B128,'Indicator Data (national)'!$B$5:$AQ$14,30,FALSE)="No data","x",IF(VLOOKUP($B128,'Indicator Data (national)'!$B$5:$AQ$14,30,FALSE)&gt;G$150,10,IF(VLOOKUP($B128,'Indicator Data (national)'!$B$5:$AQ$14,30,FALSE)&lt;G$149,0,(G$150-VLOOKUP($B128,'Indicator Data (national)'!$B$5:$AQ$14,30,FALSE))/(G$150-G$149)*10)))</f>
        <v>8.9</v>
      </c>
      <c r="H128" s="2">
        <f>IF(VLOOKUP($B128,'Indicator Data (national)'!$B$5:$AQ$14,29,FALSE)="No data","x",IF(VLOOKUP($B128,'Indicator Data (national)'!$B$5:$AQ$14,29,FALSE)&gt;H$150,10,IF(VLOOKUP($B128,'Indicator Data (national)'!$B$5:$AQ$14,29,FALSE)&lt;H$149,0,(H$150-VLOOKUP($B128,'Indicator Data (national)'!$B$5:$AQ$14,29,FALSE))/(H$150-H$149)*10)))</f>
        <v>8.0628023147583008</v>
      </c>
      <c r="I128" s="3">
        <f t="shared" si="23"/>
        <v>8.4814011573791497</v>
      </c>
      <c r="J128" s="5">
        <f t="shared" si="24"/>
        <v>8.77776573668298</v>
      </c>
      <c r="K128" s="2">
        <f>IF(VLOOKUP($B128,'Indicator Data (national)'!$B$5:$AQ$14,33,FALSE)="No data","x",IF(VLOOKUP($B128,'Indicator Data (national)'!$B$5:$AQ$14,33,FALSE)&gt;K$150,10,IF(VLOOKUP($B128,'Indicator Data (national)'!$B$5:$AQ$14,33,FALSE)&lt;K$149,0,(K$150-VLOOKUP($B128,'Indicator Data (national)'!$B$5:$AQ$14,33,FALSE))/(K$150-K$149)*10)))</f>
        <v>5.4600000000000009</v>
      </c>
      <c r="L128" s="2">
        <f>IF(VLOOKUP($B128,'Indicator Data (national)'!$B$5:$AQ$14,34,FALSE)="No data","x",IF(VLOOKUP($B128,'Indicator Data (national)'!$B$5:$AQ$14,34,FALSE)&gt;L$150,10,IF(VLOOKUP($B128,'Indicator Data (national)'!$B$5:$AQ$14,34,FALSE)&lt;L$149,0,(L$150-VLOOKUP($B128,'Indicator Data (national)'!$B$5:$AQ$14,34,FALSE))/(L$150-L$149)*10)))</f>
        <v>2.7147687093239599</v>
      </c>
      <c r="M128" s="3">
        <f t="shared" si="25"/>
        <v>4.0873843546619799</v>
      </c>
      <c r="N128" s="2">
        <f>IF(VLOOKUP($B128,'Indicator Data (national)'!$B$5:$AS$14,44,FALSE)="No data","x",IF(VLOOKUP($B128,'Indicator Data (national)'!$B$5:$AS$14,44,FALSE)&gt;N$150,10,IF(VLOOKUP($B128,'Indicator Data (national)'!$B$5:$AS$14,44,FALSE)&lt;N$149,0,10-(N$150-VLOOKUP($B128,'Indicator Data (national)'!$B$5:$AS$14,44,FALSE))/(N$150-N$149)*10)))</f>
        <v>3.4444444444444446</v>
      </c>
      <c r="O128" s="2">
        <f>IF(VLOOKUP($B128,'Indicator Data (national)'!$B$5:$AS$14,42,FALSE)="No data","x",IF(VLOOKUP($B128,'Indicator Data (national)'!$B$5:$AS$14,42,FALSE)&gt;O$150,0,IF(VLOOKUP($B128,'Indicator Data (national)'!$B$5:$AS$14,42,FALSE)&lt;O$149,10,(O$150-VLOOKUP($B128,'Indicator Data (national)'!$B$5:$AS$14,42,FALSE))/(O$150-O$149)*10)))</f>
        <v>10</v>
      </c>
      <c r="P128" s="158">
        <f t="shared" si="26"/>
        <v>6.7222222222222223</v>
      </c>
      <c r="Q128" s="2">
        <f>IF(VLOOKUP($B128,'Indicator Data (national)'!$B$5:$Q$14,16,FALSE)="No data","x",IF(VLOOKUP($B128,'Indicator Data (national)'!$B$5:$Q$14,16,FALSE)&gt;Q$150,0,IF(VLOOKUP($B128,'Indicator Data (national)'!$B$5:$Q$14,16,FALSE)&lt;Q$149,10,(Q$150-VLOOKUP($B128,'Indicator Data (national)'!$B$5:$Q$14,16,FALSE))/(Q$150-Q$149)*10)))</f>
        <v>7.1999999999999993</v>
      </c>
      <c r="R128" s="158">
        <f t="shared" si="27"/>
        <v>7.1999999999999993</v>
      </c>
      <c r="S128" s="3">
        <f t="shared" si="33"/>
        <v>6.9611111111111104</v>
      </c>
      <c r="T128" s="2">
        <f>IF(VLOOKUP($B128,'Indicator Data (national)'!$B$5:$BC$14,43,FALSE)="No data","x",IF(VLOOKUP($B128,'Indicator Data (national)'!$B$5:$BC$14,43,FALSE)&gt;T$150,10,IF(VLOOKUP($B128,'Indicator Data (national)'!$B$5:$BC$14,43,FALSE)&lt;T$149,0,(T$150-VLOOKUP($B128,'Indicator Data (national)'!$B$5:$BC$14,43,FALSE))/(T$150-T$149)*10)))</f>
        <v>7.313265781810947</v>
      </c>
      <c r="U128" s="3">
        <f t="shared" si="28"/>
        <v>7.313265781810947</v>
      </c>
      <c r="V128" s="5">
        <f t="shared" si="34"/>
        <v>6.1205870825280124</v>
      </c>
      <c r="W128" s="2">
        <f>IF(VLOOKUP($B128,'Indicator Data (national)'!$B$5:$AS$14,37,FALSE)="No data","x",IF(VLOOKUP($B128,'Indicator Data (national)'!$B$5:$AS$14,37,FALSE)&gt;W$150,10,IF(VLOOKUP($B128,'Indicator Data (national)'!$B$5:$AS$14,37,FALSE)&lt;W$149,0,(LOG(W$150)-LOG(VLOOKUP($B128,'Indicator Data (national)'!$B$5:$AS$14,37,FALSE)))/(LOG(W$150)-LOG(W$149))*10)))</f>
        <v>6.7963495627688042</v>
      </c>
      <c r="X128" s="2">
        <f>IF(VLOOKUP($B128,'Indicator Data (national)'!$B$5:$BB$14,45,FALSE)="No data","x",IF(VLOOKUP($B128,'Indicator Data (national)'!$B$5:$BB$14,45,FALSE)&gt;X$150,10,IF(VLOOKUP($B128,'Indicator Data (national)'!$B$5:$BB$14,45,FALSE)&lt;X$149,0,10-(X$150-VLOOKUP($B128,'Indicator Data (national)'!$B$5:$BB$14,45,FALSE))/(X$150-X$149)*10)))</f>
        <v>9.3333333333333339</v>
      </c>
      <c r="Y128" s="2">
        <f>IF(VLOOKUP($B128,'Indicator Data (national)'!$B$5:$BB$14,46,FALSE)="No data","x",IF(VLOOKUP($B128,'Indicator Data (national)'!$B$5:$BB$14,46,FALSE)&gt;Y$150,10,IF(VLOOKUP($B128,'Indicator Data (national)'!$B$5:$BB$14,46,FALSE)&lt;Y$149,0,(Y$150-VLOOKUP($B128,'Indicator Data (national)'!$B$5:$BB$14,46,FALSE))/(Y$150-Y$149)*10)))</f>
        <v>9</v>
      </c>
      <c r="Z128" s="156">
        <f>IF(VLOOKUP($B128,'Indicator Data (national)'!$B$5:$BB$14,48,FALSE)="No data","x",VLOOKUP($B128,'Indicator Data (national)'!$B$5:$BB$14,47,FALSE)*VLOOKUP($B128,'Indicator Data (national)'!$B$5:$BB$14,48,FALSE))</f>
        <v>16.213609009461287</v>
      </c>
      <c r="AA128" s="2">
        <f t="shared" si="29"/>
        <v>8.3786390990538706</v>
      </c>
      <c r="AB128" s="3">
        <f t="shared" si="30"/>
        <v>8.3770804987890024</v>
      </c>
      <c r="AC128" s="2">
        <f>IF(VLOOKUP($B128,'Indicator Data (national)'!$B$5:$BB$14,49,FALSE)="No data","x",IF(VLOOKUP($B128,'Indicator Data (national)'!$B$5:$BB$14,49,FALSE)&gt;AC$150,0,IF(VLOOKUP($B128,'Indicator Data (national)'!$B$5:$BB$14,49,FALSE)&lt;AC$149,10,(AC$150-VLOOKUP($B128,'Indicator Data (national)'!$B$5:$BB$14,49,FALSE))/(AC$150-AC$149)*10)))</f>
        <v>9.76</v>
      </c>
      <c r="AD128" s="2">
        <f>IF(VLOOKUP($B128,'Indicator Data (national)'!$B$5:$BB$14,50,FALSE)="No data","x",IF(VLOOKUP($B128,'Indicator Data (national)'!$B$5:$BB$14,50,FALSE)&gt;AD$150,0,IF(VLOOKUP($B128,'Indicator Data (national)'!$B$5:$BB$14,50,FALSE)&lt;AD$149,10,(AD$150-VLOOKUP($B128,'Indicator Data (national)'!$B$5:$BB$14,50,FALSE))/(AD$150-AD$149)*10)))</f>
        <v>9.6199999999999992</v>
      </c>
      <c r="AE128" s="3">
        <f t="shared" si="31"/>
        <v>9.69</v>
      </c>
      <c r="AF128" s="2">
        <f>IF(VLOOKUP($B128,'Indicator Data (national)'!$B$5:$BB$14,51,FALSE)="No data","x",IF(VLOOKUP($B128,'Indicator Data (national)'!$B$5:$BB$14,51,FALSE)&gt;AF$150,0,IF(VLOOKUP($B128,'Indicator Data (national)'!$B$5:$BB$14,51,FALSE)&lt;AF$149,10,(AF$150-VLOOKUP($B128,'Indicator Data (national)'!$B$5:$BB$14,51,FALSE))/(AF$150-AF$149)*10)))</f>
        <v>9.2104222882958418</v>
      </c>
      <c r="AG128" s="2">
        <f>IF(VLOOKUP($B128,'Indicator Data (national)'!$B$5:$BB$14,52,FALSE)="No data","x",IF(VLOOKUP($B128,'Indicator Data (national)'!$B$5:$BB$14,52,FALSE)&gt;AG$150,0,IF(VLOOKUP($B128,'Indicator Data (national)'!$B$5:$BB$14,52,FALSE)&lt;AG$149,10,(AG$150-VLOOKUP($B128,'Indicator Data (national)'!$B$5:$BB$14,52,FALSE))/(AG$150-AG$149)*10)))</f>
        <v>1.0626279999999992</v>
      </c>
      <c r="AH128" s="2" t="str">
        <f>IF(VLOOKUP($B128,'Indicator Data (national)'!$B$5:$BB$14,53,FALSE)="No data","x",IF(VLOOKUP($B128,'Indicator Data (national)'!$B$5:$BB$14,53,FALSE)&gt;AH$150,0,IF(VLOOKUP($B128,'Indicator Data (national)'!$B$5:$BB$14,53,FALSE)&lt;AH$149,10,(AH$150-VLOOKUP($B128,'Indicator Data (national)'!$B$5:$BB$14,53,FALSE))/(AH$150-AH$149)*10)))</f>
        <v>x</v>
      </c>
      <c r="AI128" s="3">
        <f t="shared" si="32"/>
        <v>5.1365251441479209</v>
      </c>
      <c r="AJ128" s="5">
        <f t="shared" si="35"/>
        <v>7.7345352143123085</v>
      </c>
    </row>
    <row r="129" spans="1:36" s="11" customFormat="1" x14ac:dyDescent="0.25">
      <c r="A129" s="16" t="s">
        <v>540</v>
      </c>
      <c r="B129" s="11" t="s">
        <v>579</v>
      </c>
      <c r="C129" s="16" t="s">
        <v>541</v>
      </c>
      <c r="D129" s="120">
        <f>(VLOOKUP($B129,'Indicator Data (national)'!$B$5:$AP$14,39,FALSE)+VLOOKUP($B129,'Indicator Data (national)'!$B$5:$AP$14,40,FALSE)+VLOOKUP($B129,'Indicator Data (national)'!$B$5:$AP$14,41,FALSE))/VLOOKUP($B129,'Indicator Data (national)'!$B$5:$AP$14,38,FALSE)*1000000</f>
        <v>0.18517393680263772</v>
      </c>
      <c r="E129" s="2">
        <f t="shared" si="21"/>
        <v>9.0741303159868121</v>
      </c>
      <c r="F129" s="3">
        <f t="shared" si="22"/>
        <v>9.0741303159868121</v>
      </c>
      <c r="G129" s="2">
        <f>IF(VLOOKUP($B129,'Indicator Data (national)'!$B$5:$AQ$14,30,FALSE)="No data","x",IF(VLOOKUP($B129,'Indicator Data (national)'!$B$5:$AQ$14,30,FALSE)&gt;G$150,10,IF(VLOOKUP($B129,'Indicator Data (national)'!$B$5:$AQ$14,30,FALSE)&lt;G$149,0,(G$150-VLOOKUP($B129,'Indicator Data (national)'!$B$5:$AQ$14,30,FALSE))/(G$150-G$149)*10)))</f>
        <v>8.9</v>
      </c>
      <c r="H129" s="2">
        <f>IF(VLOOKUP($B129,'Indicator Data (national)'!$B$5:$AQ$14,29,FALSE)="No data","x",IF(VLOOKUP($B129,'Indicator Data (national)'!$B$5:$AQ$14,29,FALSE)&gt;H$150,10,IF(VLOOKUP($B129,'Indicator Data (national)'!$B$5:$AQ$14,29,FALSE)&lt;H$149,0,(H$150-VLOOKUP($B129,'Indicator Data (national)'!$B$5:$AQ$14,29,FALSE))/(H$150-H$149)*10)))</f>
        <v>8.0628023147583008</v>
      </c>
      <c r="I129" s="3">
        <f t="shared" si="23"/>
        <v>8.4814011573791497</v>
      </c>
      <c r="J129" s="5">
        <f t="shared" si="24"/>
        <v>8.77776573668298</v>
      </c>
      <c r="K129" s="2">
        <f>IF(VLOOKUP($B129,'Indicator Data (national)'!$B$5:$AQ$14,33,FALSE)="No data","x",IF(VLOOKUP($B129,'Indicator Data (national)'!$B$5:$AQ$14,33,FALSE)&gt;K$150,10,IF(VLOOKUP($B129,'Indicator Data (national)'!$B$5:$AQ$14,33,FALSE)&lt;K$149,0,(K$150-VLOOKUP($B129,'Indicator Data (national)'!$B$5:$AQ$14,33,FALSE))/(K$150-K$149)*10)))</f>
        <v>5.4600000000000009</v>
      </c>
      <c r="L129" s="2">
        <f>IF(VLOOKUP($B129,'Indicator Data (national)'!$B$5:$AQ$14,34,FALSE)="No data","x",IF(VLOOKUP($B129,'Indicator Data (national)'!$B$5:$AQ$14,34,FALSE)&gt;L$150,10,IF(VLOOKUP($B129,'Indicator Data (national)'!$B$5:$AQ$14,34,FALSE)&lt;L$149,0,(L$150-VLOOKUP($B129,'Indicator Data (national)'!$B$5:$AQ$14,34,FALSE))/(L$150-L$149)*10)))</f>
        <v>2.7147687093239599</v>
      </c>
      <c r="M129" s="3">
        <f t="shared" si="25"/>
        <v>4.0873843546619799</v>
      </c>
      <c r="N129" s="2">
        <f>IF(VLOOKUP($B129,'Indicator Data (national)'!$B$5:$AS$14,44,FALSE)="No data","x",IF(VLOOKUP($B129,'Indicator Data (national)'!$B$5:$AS$14,44,FALSE)&gt;N$150,10,IF(VLOOKUP($B129,'Indicator Data (national)'!$B$5:$AS$14,44,FALSE)&lt;N$149,0,10-(N$150-VLOOKUP($B129,'Indicator Data (national)'!$B$5:$AS$14,44,FALSE))/(N$150-N$149)*10)))</f>
        <v>3.4444444444444446</v>
      </c>
      <c r="O129" s="2">
        <f>IF(VLOOKUP($B129,'Indicator Data (national)'!$B$5:$AS$14,42,FALSE)="No data","x",IF(VLOOKUP($B129,'Indicator Data (national)'!$B$5:$AS$14,42,FALSE)&gt;O$150,0,IF(VLOOKUP($B129,'Indicator Data (national)'!$B$5:$AS$14,42,FALSE)&lt;O$149,10,(O$150-VLOOKUP($B129,'Indicator Data (national)'!$B$5:$AS$14,42,FALSE))/(O$150-O$149)*10)))</f>
        <v>10</v>
      </c>
      <c r="P129" s="158">
        <f t="shared" si="26"/>
        <v>6.7222222222222223</v>
      </c>
      <c r="Q129" s="2">
        <f>IF(VLOOKUP($B129,'Indicator Data (national)'!$B$5:$Q$14,16,FALSE)="No data","x",IF(VLOOKUP($B129,'Indicator Data (national)'!$B$5:$Q$14,16,FALSE)&gt;Q$150,0,IF(VLOOKUP($B129,'Indicator Data (national)'!$B$5:$Q$14,16,FALSE)&lt;Q$149,10,(Q$150-VLOOKUP($B129,'Indicator Data (national)'!$B$5:$Q$14,16,FALSE))/(Q$150-Q$149)*10)))</f>
        <v>7.1999999999999993</v>
      </c>
      <c r="R129" s="158">
        <f t="shared" si="27"/>
        <v>7.1999999999999993</v>
      </c>
      <c r="S129" s="3">
        <f t="shared" si="33"/>
        <v>6.9611111111111104</v>
      </c>
      <c r="T129" s="2">
        <f>IF(VLOOKUP($B129,'Indicator Data (national)'!$B$5:$BC$14,43,FALSE)="No data","x",IF(VLOOKUP($B129,'Indicator Data (national)'!$B$5:$BC$14,43,FALSE)&gt;T$150,10,IF(VLOOKUP($B129,'Indicator Data (national)'!$B$5:$BC$14,43,FALSE)&lt;T$149,0,(T$150-VLOOKUP($B129,'Indicator Data (national)'!$B$5:$BC$14,43,FALSE))/(T$150-T$149)*10)))</f>
        <v>7.313265781810947</v>
      </c>
      <c r="U129" s="3">
        <f t="shared" si="28"/>
        <v>7.313265781810947</v>
      </c>
      <c r="V129" s="5">
        <f t="shared" si="34"/>
        <v>6.1205870825280124</v>
      </c>
      <c r="W129" s="2">
        <f>IF(VLOOKUP($B129,'Indicator Data (national)'!$B$5:$AS$14,37,FALSE)="No data","x",IF(VLOOKUP($B129,'Indicator Data (national)'!$B$5:$AS$14,37,FALSE)&gt;W$150,10,IF(VLOOKUP($B129,'Indicator Data (national)'!$B$5:$AS$14,37,FALSE)&lt;W$149,0,(LOG(W$150)-LOG(VLOOKUP($B129,'Indicator Data (national)'!$B$5:$AS$14,37,FALSE)))/(LOG(W$150)-LOG(W$149))*10)))</f>
        <v>6.7963495627688042</v>
      </c>
      <c r="X129" s="2">
        <f>IF(VLOOKUP($B129,'Indicator Data (national)'!$B$5:$BB$14,45,FALSE)="No data","x",IF(VLOOKUP($B129,'Indicator Data (national)'!$B$5:$BB$14,45,FALSE)&gt;X$150,10,IF(VLOOKUP($B129,'Indicator Data (national)'!$B$5:$BB$14,45,FALSE)&lt;X$149,0,10-(X$150-VLOOKUP($B129,'Indicator Data (national)'!$B$5:$BB$14,45,FALSE))/(X$150-X$149)*10)))</f>
        <v>9.3333333333333339</v>
      </c>
      <c r="Y129" s="2">
        <f>IF(VLOOKUP($B129,'Indicator Data (national)'!$B$5:$BB$14,46,FALSE)="No data","x",IF(VLOOKUP($B129,'Indicator Data (national)'!$B$5:$BB$14,46,FALSE)&gt;Y$150,10,IF(VLOOKUP($B129,'Indicator Data (national)'!$B$5:$BB$14,46,FALSE)&lt;Y$149,0,(Y$150-VLOOKUP($B129,'Indicator Data (national)'!$B$5:$BB$14,46,FALSE))/(Y$150-Y$149)*10)))</f>
        <v>9</v>
      </c>
      <c r="Z129" s="156">
        <f>IF(VLOOKUP($B129,'Indicator Data (national)'!$B$5:$BB$14,48,FALSE)="No data","x",VLOOKUP($B129,'Indicator Data (national)'!$B$5:$BB$14,47,FALSE)*VLOOKUP($B129,'Indicator Data (national)'!$B$5:$BB$14,48,FALSE))</f>
        <v>16.213609009461287</v>
      </c>
      <c r="AA129" s="2">
        <f t="shared" si="29"/>
        <v>8.3786390990538706</v>
      </c>
      <c r="AB129" s="3">
        <f t="shared" si="30"/>
        <v>8.3770804987890024</v>
      </c>
      <c r="AC129" s="2">
        <f>IF(VLOOKUP($B129,'Indicator Data (national)'!$B$5:$BB$14,49,FALSE)="No data","x",IF(VLOOKUP($B129,'Indicator Data (national)'!$B$5:$BB$14,49,FALSE)&gt;AC$150,0,IF(VLOOKUP($B129,'Indicator Data (national)'!$B$5:$BB$14,49,FALSE)&lt;AC$149,10,(AC$150-VLOOKUP($B129,'Indicator Data (national)'!$B$5:$BB$14,49,FALSE))/(AC$150-AC$149)*10)))</f>
        <v>9.76</v>
      </c>
      <c r="AD129" s="2">
        <f>IF(VLOOKUP($B129,'Indicator Data (national)'!$B$5:$BB$14,50,FALSE)="No data","x",IF(VLOOKUP($B129,'Indicator Data (national)'!$B$5:$BB$14,50,FALSE)&gt;AD$150,0,IF(VLOOKUP($B129,'Indicator Data (national)'!$B$5:$BB$14,50,FALSE)&lt;AD$149,10,(AD$150-VLOOKUP($B129,'Indicator Data (national)'!$B$5:$BB$14,50,FALSE))/(AD$150-AD$149)*10)))</f>
        <v>9.6199999999999992</v>
      </c>
      <c r="AE129" s="3">
        <f t="shared" si="31"/>
        <v>9.69</v>
      </c>
      <c r="AF129" s="2">
        <f>IF(VLOOKUP($B129,'Indicator Data (national)'!$B$5:$BB$14,51,FALSE)="No data","x",IF(VLOOKUP($B129,'Indicator Data (national)'!$B$5:$BB$14,51,FALSE)&gt;AF$150,0,IF(VLOOKUP($B129,'Indicator Data (national)'!$B$5:$BB$14,51,FALSE)&lt;AF$149,10,(AF$150-VLOOKUP($B129,'Indicator Data (national)'!$B$5:$BB$14,51,FALSE))/(AF$150-AF$149)*10)))</f>
        <v>9.2104222882958418</v>
      </c>
      <c r="AG129" s="2">
        <f>IF(VLOOKUP($B129,'Indicator Data (national)'!$B$5:$BB$14,52,FALSE)="No data","x",IF(VLOOKUP($B129,'Indicator Data (national)'!$B$5:$BB$14,52,FALSE)&gt;AG$150,0,IF(VLOOKUP($B129,'Indicator Data (national)'!$B$5:$BB$14,52,FALSE)&lt;AG$149,10,(AG$150-VLOOKUP($B129,'Indicator Data (national)'!$B$5:$BB$14,52,FALSE))/(AG$150-AG$149)*10)))</f>
        <v>1.0626279999999992</v>
      </c>
      <c r="AH129" s="2" t="str">
        <f>IF(VLOOKUP($B129,'Indicator Data (national)'!$B$5:$BB$14,53,FALSE)="No data","x",IF(VLOOKUP($B129,'Indicator Data (national)'!$B$5:$BB$14,53,FALSE)&gt;AH$150,0,IF(VLOOKUP($B129,'Indicator Data (national)'!$B$5:$BB$14,53,FALSE)&lt;AH$149,10,(AH$150-VLOOKUP($B129,'Indicator Data (national)'!$B$5:$BB$14,53,FALSE))/(AH$150-AH$149)*10)))</f>
        <v>x</v>
      </c>
      <c r="AI129" s="3">
        <f t="shared" si="32"/>
        <v>5.1365251441479209</v>
      </c>
      <c r="AJ129" s="5">
        <f t="shared" si="35"/>
        <v>7.7345352143123085</v>
      </c>
    </row>
    <row r="130" spans="1:36" s="11" customFormat="1" x14ac:dyDescent="0.25">
      <c r="A130" s="16" t="s">
        <v>542</v>
      </c>
      <c r="B130" s="11" t="s">
        <v>579</v>
      </c>
      <c r="C130" s="16" t="s">
        <v>543</v>
      </c>
      <c r="D130" s="120">
        <f>(VLOOKUP($B130,'Indicator Data (national)'!$B$5:$AP$14,39,FALSE)+VLOOKUP($B130,'Indicator Data (national)'!$B$5:$AP$14,40,FALSE)+VLOOKUP($B130,'Indicator Data (national)'!$B$5:$AP$14,41,FALSE))/VLOOKUP($B130,'Indicator Data (national)'!$B$5:$AP$14,38,FALSE)*1000000</f>
        <v>0.18517393680263772</v>
      </c>
      <c r="E130" s="2">
        <f t="shared" si="21"/>
        <v>9.0741303159868121</v>
      </c>
      <c r="F130" s="3">
        <f t="shared" si="22"/>
        <v>9.0741303159868121</v>
      </c>
      <c r="G130" s="2">
        <f>IF(VLOOKUP($B130,'Indicator Data (national)'!$B$5:$AQ$14,30,FALSE)="No data","x",IF(VLOOKUP($B130,'Indicator Data (national)'!$B$5:$AQ$14,30,FALSE)&gt;G$150,10,IF(VLOOKUP($B130,'Indicator Data (national)'!$B$5:$AQ$14,30,FALSE)&lt;G$149,0,(G$150-VLOOKUP($B130,'Indicator Data (national)'!$B$5:$AQ$14,30,FALSE))/(G$150-G$149)*10)))</f>
        <v>8.9</v>
      </c>
      <c r="H130" s="2">
        <f>IF(VLOOKUP($B130,'Indicator Data (national)'!$B$5:$AQ$14,29,FALSE)="No data","x",IF(VLOOKUP($B130,'Indicator Data (national)'!$B$5:$AQ$14,29,FALSE)&gt;H$150,10,IF(VLOOKUP($B130,'Indicator Data (national)'!$B$5:$AQ$14,29,FALSE)&lt;H$149,0,(H$150-VLOOKUP($B130,'Indicator Data (national)'!$B$5:$AQ$14,29,FALSE))/(H$150-H$149)*10)))</f>
        <v>8.0628023147583008</v>
      </c>
      <c r="I130" s="3">
        <f t="shared" si="23"/>
        <v>8.4814011573791497</v>
      </c>
      <c r="J130" s="5">
        <f t="shared" si="24"/>
        <v>8.77776573668298</v>
      </c>
      <c r="K130" s="2">
        <f>IF(VLOOKUP($B130,'Indicator Data (national)'!$B$5:$AQ$14,33,FALSE)="No data","x",IF(VLOOKUP($B130,'Indicator Data (national)'!$B$5:$AQ$14,33,FALSE)&gt;K$150,10,IF(VLOOKUP($B130,'Indicator Data (national)'!$B$5:$AQ$14,33,FALSE)&lt;K$149,0,(K$150-VLOOKUP($B130,'Indicator Data (national)'!$B$5:$AQ$14,33,FALSE))/(K$150-K$149)*10)))</f>
        <v>5.4600000000000009</v>
      </c>
      <c r="L130" s="2">
        <f>IF(VLOOKUP($B130,'Indicator Data (national)'!$B$5:$AQ$14,34,FALSE)="No data","x",IF(VLOOKUP($B130,'Indicator Data (national)'!$B$5:$AQ$14,34,FALSE)&gt;L$150,10,IF(VLOOKUP($B130,'Indicator Data (national)'!$B$5:$AQ$14,34,FALSE)&lt;L$149,0,(L$150-VLOOKUP($B130,'Indicator Data (national)'!$B$5:$AQ$14,34,FALSE))/(L$150-L$149)*10)))</f>
        <v>2.7147687093239599</v>
      </c>
      <c r="M130" s="3">
        <f t="shared" si="25"/>
        <v>4.0873843546619799</v>
      </c>
      <c r="N130" s="2">
        <f>IF(VLOOKUP($B130,'Indicator Data (national)'!$B$5:$AS$14,44,FALSE)="No data","x",IF(VLOOKUP($B130,'Indicator Data (national)'!$B$5:$AS$14,44,FALSE)&gt;N$150,10,IF(VLOOKUP($B130,'Indicator Data (national)'!$B$5:$AS$14,44,FALSE)&lt;N$149,0,10-(N$150-VLOOKUP($B130,'Indicator Data (national)'!$B$5:$AS$14,44,FALSE))/(N$150-N$149)*10)))</f>
        <v>3.4444444444444446</v>
      </c>
      <c r="O130" s="2">
        <f>IF(VLOOKUP($B130,'Indicator Data (national)'!$B$5:$AS$14,42,FALSE)="No data","x",IF(VLOOKUP($B130,'Indicator Data (national)'!$B$5:$AS$14,42,FALSE)&gt;O$150,0,IF(VLOOKUP($B130,'Indicator Data (national)'!$B$5:$AS$14,42,FALSE)&lt;O$149,10,(O$150-VLOOKUP($B130,'Indicator Data (national)'!$B$5:$AS$14,42,FALSE))/(O$150-O$149)*10)))</f>
        <v>10</v>
      </c>
      <c r="P130" s="158">
        <f t="shared" si="26"/>
        <v>6.7222222222222223</v>
      </c>
      <c r="Q130" s="2">
        <f>IF(VLOOKUP($B130,'Indicator Data (national)'!$B$5:$Q$14,16,FALSE)="No data","x",IF(VLOOKUP($B130,'Indicator Data (national)'!$B$5:$Q$14,16,FALSE)&gt;Q$150,0,IF(VLOOKUP($B130,'Indicator Data (national)'!$B$5:$Q$14,16,FALSE)&lt;Q$149,10,(Q$150-VLOOKUP($B130,'Indicator Data (national)'!$B$5:$Q$14,16,FALSE))/(Q$150-Q$149)*10)))</f>
        <v>7.1999999999999993</v>
      </c>
      <c r="R130" s="158">
        <f t="shared" si="27"/>
        <v>7.1999999999999993</v>
      </c>
      <c r="S130" s="3">
        <f t="shared" si="33"/>
        <v>6.9611111111111104</v>
      </c>
      <c r="T130" s="2">
        <f>IF(VLOOKUP($B130,'Indicator Data (national)'!$B$5:$BC$14,43,FALSE)="No data","x",IF(VLOOKUP($B130,'Indicator Data (national)'!$B$5:$BC$14,43,FALSE)&gt;T$150,10,IF(VLOOKUP($B130,'Indicator Data (national)'!$B$5:$BC$14,43,FALSE)&lt;T$149,0,(T$150-VLOOKUP($B130,'Indicator Data (national)'!$B$5:$BC$14,43,FALSE))/(T$150-T$149)*10)))</f>
        <v>7.313265781810947</v>
      </c>
      <c r="U130" s="3">
        <f t="shared" si="28"/>
        <v>7.313265781810947</v>
      </c>
      <c r="V130" s="5">
        <f t="shared" si="34"/>
        <v>6.1205870825280124</v>
      </c>
      <c r="W130" s="2">
        <f>IF(VLOOKUP($B130,'Indicator Data (national)'!$B$5:$AS$14,37,FALSE)="No data","x",IF(VLOOKUP($B130,'Indicator Data (national)'!$B$5:$AS$14,37,FALSE)&gt;W$150,10,IF(VLOOKUP($B130,'Indicator Data (national)'!$B$5:$AS$14,37,FALSE)&lt;W$149,0,(LOG(W$150)-LOG(VLOOKUP($B130,'Indicator Data (national)'!$B$5:$AS$14,37,FALSE)))/(LOG(W$150)-LOG(W$149))*10)))</f>
        <v>6.7963495627688042</v>
      </c>
      <c r="X130" s="2">
        <f>IF(VLOOKUP($B130,'Indicator Data (national)'!$B$5:$BB$14,45,FALSE)="No data","x",IF(VLOOKUP($B130,'Indicator Data (national)'!$B$5:$BB$14,45,FALSE)&gt;X$150,10,IF(VLOOKUP($B130,'Indicator Data (national)'!$B$5:$BB$14,45,FALSE)&lt;X$149,0,10-(X$150-VLOOKUP($B130,'Indicator Data (national)'!$B$5:$BB$14,45,FALSE))/(X$150-X$149)*10)))</f>
        <v>9.3333333333333339</v>
      </c>
      <c r="Y130" s="2">
        <f>IF(VLOOKUP($B130,'Indicator Data (national)'!$B$5:$BB$14,46,FALSE)="No data","x",IF(VLOOKUP($B130,'Indicator Data (national)'!$B$5:$BB$14,46,FALSE)&gt;Y$150,10,IF(VLOOKUP($B130,'Indicator Data (national)'!$B$5:$BB$14,46,FALSE)&lt;Y$149,0,(Y$150-VLOOKUP($B130,'Indicator Data (national)'!$B$5:$BB$14,46,FALSE))/(Y$150-Y$149)*10)))</f>
        <v>9</v>
      </c>
      <c r="Z130" s="156">
        <f>IF(VLOOKUP($B130,'Indicator Data (national)'!$B$5:$BB$14,48,FALSE)="No data","x",VLOOKUP($B130,'Indicator Data (national)'!$B$5:$BB$14,47,FALSE)*VLOOKUP($B130,'Indicator Data (national)'!$B$5:$BB$14,48,FALSE))</f>
        <v>16.213609009461287</v>
      </c>
      <c r="AA130" s="2">
        <f t="shared" si="29"/>
        <v>8.3786390990538706</v>
      </c>
      <c r="AB130" s="3">
        <f t="shared" si="30"/>
        <v>8.3770804987890024</v>
      </c>
      <c r="AC130" s="2">
        <f>IF(VLOOKUP($B130,'Indicator Data (national)'!$B$5:$BB$14,49,FALSE)="No data","x",IF(VLOOKUP($B130,'Indicator Data (national)'!$B$5:$BB$14,49,FALSE)&gt;AC$150,0,IF(VLOOKUP($B130,'Indicator Data (national)'!$B$5:$BB$14,49,FALSE)&lt;AC$149,10,(AC$150-VLOOKUP($B130,'Indicator Data (national)'!$B$5:$BB$14,49,FALSE))/(AC$150-AC$149)*10)))</f>
        <v>9.76</v>
      </c>
      <c r="AD130" s="2">
        <f>IF(VLOOKUP($B130,'Indicator Data (national)'!$B$5:$BB$14,50,FALSE)="No data","x",IF(VLOOKUP($B130,'Indicator Data (national)'!$B$5:$BB$14,50,FALSE)&gt;AD$150,0,IF(VLOOKUP($B130,'Indicator Data (national)'!$B$5:$BB$14,50,FALSE)&lt;AD$149,10,(AD$150-VLOOKUP($B130,'Indicator Data (national)'!$B$5:$BB$14,50,FALSE))/(AD$150-AD$149)*10)))</f>
        <v>9.6199999999999992</v>
      </c>
      <c r="AE130" s="3">
        <f t="shared" si="31"/>
        <v>9.69</v>
      </c>
      <c r="AF130" s="2">
        <f>IF(VLOOKUP($B130,'Indicator Data (national)'!$B$5:$BB$14,51,FALSE)="No data","x",IF(VLOOKUP($B130,'Indicator Data (national)'!$B$5:$BB$14,51,FALSE)&gt;AF$150,0,IF(VLOOKUP($B130,'Indicator Data (national)'!$B$5:$BB$14,51,FALSE)&lt;AF$149,10,(AF$150-VLOOKUP($B130,'Indicator Data (national)'!$B$5:$BB$14,51,FALSE))/(AF$150-AF$149)*10)))</f>
        <v>9.2104222882958418</v>
      </c>
      <c r="AG130" s="2">
        <f>IF(VLOOKUP($B130,'Indicator Data (national)'!$B$5:$BB$14,52,FALSE)="No data","x",IF(VLOOKUP($B130,'Indicator Data (national)'!$B$5:$BB$14,52,FALSE)&gt;AG$150,0,IF(VLOOKUP($B130,'Indicator Data (national)'!$B$5:$BB$14,52,FALSE)&lt;AG$149,10,(AG$150-VLOOKUP($B130,'Indicator Data (national)'!$B$5:$BB$14,52,FALSE))/(AG$150-AG$149)*10)))</f>
        <v>1.0626279999999992</v>
      </c>
      <c r="AH130" s="2" t="str">
        <f>IF(VLOOKUP($B130,'Indicator Data (national)'!$B$5:$BB$14,53,FALSE)="No data","x",IF(VLOOKUP($B130,'Indicator Data (national)'!$B$5:$BB$14,53,FALSE)&gt;AH$150,0,IF(VLOOKUP($B130,'Indicator Data (national)'!$B$5:$BB$14,53,FALSE)&lt;AH$149,10,(AH$150-VLOOKUP($B130,'Indicator Data (national)'!$B$5:$BB$14,53,FALSE))/(AH$150-AH$149)*10)))</f>
        <v>x</v>
      </c>
      <c r="AI130" s="3">
        <f t="shared" si="32"/>
        <v>5.1365251441479209</v>
      </c>
      <c r="AJ130" s="5">
        <f t="shared" si="35"/>
        <v>7.7345352143123085</v>
      </c>
    </row>
    <row r="131" spans="1:36" s="11" customFormat="1" x14ac:dyDescent="0.25">
      <c r="A131" s="16" t="s">
        <v>544</v>
      </c>
      <c r="B131" s="11" t="s">
        <v>579</v>
      </c>
      <c r="C131" s="16" t="s">
        <v>545</v>
      </c>
      <c r="D131" s="120">
        <f>(VLOOKUP($B131,'Indicator Data (national)'!$B$5:$AP$14,39,FALSE)+VLOOKUP($B131,'Indicator Data (national)'!$B$5:$AP$14,40,FALSE)+VLOOKUP($B131,'Indicator Data (national)'!$B$5:$AP$14,41,FALSE))/VLOOKUP($B131,'Indicator Data (national)'!$B$5:$AP$14,38,FALSE)*1000000</f>
        <v>0.18517393680263772</v>
      </c>
      <c r="E131" s="2">
        <f t="shared" si="21"/>
        <v>9.0741303159868121</v>
      </c>
      <c r="F131" s="3">
        <f t="shared" si="22"/>
        <v>9.0741303159868121</v>
      </c>
      <c r="G131" s="2">
        <f>IF(VLOOKUP($B131,'Indicator Data (national)'!$B$5:$AQ$14,30,FALSE)="No data","x",IF(VLOOKUP($B131,'Indicator Data (national)'!$B$5:$AQ$14,30,FALSE)&gt;G$150,10,IF(VLOOKUP($B131,'Indicator Data (national)'!$B$5:$AQ$14,30,FALSE)&lt;G$149,0,(G$150-VLOOKUP($B131,'Indicator Data (national)'!$B$5:$AQ$14,30,FALSE))/(G$150-G$149)*10)))</f>
        <v>8.9</v>
      </c>
      <c r="H131" s="2">
        <f>IF(VLOOKUP($B131,'Indicator Data (national)'!$B$5:$AQ$14,29,FALSE)="No data","x",IF(VLOOKUP($B131,'Indicator Data (national)'!$B$5:$AQ$14,29,FALSE)&gt;H$150,10,IF(VLOOKUP($B131,'Indicator Data (national)'!$B$5:$AQ$14,29,FALSE)&lt;H$149,0,(H$150-VLOOKUP($B131,'Indicator Data (national)'!$B$5:$AQ$14,29,FALSE))/(H$150-H$149)*10)))</f>
        <v>8.0628023147583008</v>
      </c>
      <c r="I131" s="3">
        <f t="shared" si="23"/>
        <v>8.4814011573791497</v>
      </c>
      <c r="J131" s="5">
        <f t="shared" si="24"/>
        <v>8.77776573668298</v>
      </c>
      <c r="K131" s="2">
        <f>IF(VLOOKUP($B131,'Indicator Data (national)'!$B$5:$AQ$14,33,FALSE)="No data","x",IF(VLOOKUP($B131,'Indicator Data (national)'!$B$5:$AQ$14,33,FALSE)&gt;K$150,10,IF(VLOOKUP($B131,'Indicator Data (national)'!$B$5:$AQ$14,33,FALSE)&lt;K$149,0,(K$150-VLOOKUP($B131,'Indicator Data (national)'!$B$5:$AQ$14,33,FALSE))/(K$150-K$149)*10)))</f>
        <v>5.4600000000000009</v>
      </c>
      <c r="L131" s="2">
        <f>IF(VLOOKUP($B131,'Indicator Data (national)'!$B$5:$AQ$14,34,FALSE)="No data","x",IF(VLOOKUP($B131,'Indicator Data (national)'!$B$5:$AQ$14,34,FALSE)&gt;L$150,10,IF(VLOOKUP($B131,'Indicator Data (national)'!$B$5:$AQ$14,34,FALSE)&lt;L$149,0,(L$150-VLOOKUP($B131,'Indicator Data (national)'!$B$5:$AQ$14,34,FALSE))/(L$150-L$149)*10)))</f>
        <v>2.7147687093239599</v>
      </c>
      <c r="M131" s="3">
        <f t="shared" si="25"/>
        <v>4.0873843546619799</v>
      </c>
      <c r="N131" s="2">
        <f>IF(VLOOKUP($B131,'Indicator Data (national)'!$B$5:$AS$14,44,FALSE)="No data","x",IF(VLOOKUP($B131,'Indicator Data (national)'!$B$5:$AS$14,44,FALSE)&gt;N$150,10,IF(VLOOKUP($B131,'Indicator Data (national)'!$B$5:$AS$14,44,FALSE)&lt;N$149,0,10-(N$150-VLOOKUP($B131,'Indicator Data (national)'!$B$5:$AS$14,44,FALSE))/(N$150-N$149)*10)))</f>
        <v>3.4444444444444446</v>
      </c>
      <c r="O131" s="2">
        <f>IF(VLOOKUP($B131,'Indicator Data (national)'!$B$5:$AS$14,42,FALSE)="No data","x",IF(VLOOKUP($B131,'Indicator Data (national)'!$B$5:$AS$14,42,FALSE)&gt;O$150,0,IF(VLOOKUP($B131,'Indicator Data (national)'!$B$5:$AS$14,42,FALSE)&lt;O$149,10,(O$150-VLOOKUP($B131,'Indicator Data (national)'!$B$5:$AS$14,42,FALSE))/(O$150-O$149)*10)))</f>
        <v>10</v>
      </c>
      <c r="P131" s="158">
        <f t="shared" si="26"/>
        <v>6.7222222222222223</v>
      </c>
      <c r="Q131" s="2">
        <f>IF(VLOOKUP($B131,'Indicator Data (national)'!$B$5:$Q$14,16,FALSE)="No data","x",IF(VLOOKUP($B131,'Indicator Data (national)'!$B$5:$Q$14,16,FALSE)&gt;Q$150,0,IF(VLOOKUP($B131,'Indicator Data (national)'!$B$5:$Q$14,16,FALSE)&lt;Q$149,10,(Q$150-VLOOKUP($B131,'Indicator Data (national)'!$B$5:$Q$14,16,FALSE))/(Q$150-Q$149)*10)))</f>
        <v>7.1999999999999993</v>
      </c>
      <c r="R131" s="158">
        <f t="shared" si="27"/>
        <v>7.1999999999999993</v>
      </c>
      <c r="S131" s="3">
        <f t="shared" ref="S131:S148" si="36">AVERAGE(R131,P131)</f>
        <v>6.9611111111111104</v>
      </c>
      <c r="T131" s="2">
        <f>IF(VLOOKUP($B131,'Indicator Data (national)'!$B$5:$BC$14,43,FALSE)="No data","x",IF(VLOOKUP($B131,'Indicator Data (national)'!$B$5:$BC$14,43,FALSE)&gt;T$150,10,IF(VLOOKUP($B131,'Indicator Data (national)'!$B$5:$BC$14,43,FALSE)&lt;T$149,0,(T$150-VLOOKUP($B131,'Indicator Data (national)'!$B$5:$BC$14,43,FALSE))/(T$150-T$149)*10)))</f>
        <v>7.313265781810947</v>
      </c>
      <c r="U131" s="3">
        <f t="shared" si="28"/>
        <v>7.313265781810947</v>
      </c>
      <c r="V131" s="5">
        <f t="shared" ref="V131:V148" si="37">AVERAGE(S131,M131,U131)</f>
        <v>6.1205870825280124</v>
      </c>
      <c r="W131" s="2">
        <f>IF(VLOOKUP($B131,'Indicator Data (national)'!$B$5:$AS$14,37,FALSE)="No data","x",IF(VLOOKUP($B131,'Indicator Data (national)'!$B$5:$AS$14,37,FALSE)&gt;W$150,10,IF(VLOOKUP($B131,'Indicator Data (national)'!$B$5:$AS$14,37,FALSE)&lt;W$149,0,(LOG(W$150)-LOG(VLOOKUP($B131,'Indicator Data (national)'!$B$5:$AS$14,37,FALSE)))/(LOG(W$150)-LOG(W$149))*10)))</f>
        <v>6.7963495627688042</v>
      </c>
      <c r="X131" s="2">
        <f>IF(VLOOKUP($B131,'Indicator Data (national)'!$B$5:$BB$14,45,FALSE)="No data","x",IF(VLOOKUP($B131,'Indicator Data (national)'!$B$5:$BB$14,45,FALSE)&gt;X$150,10,IF(VLOOKUP($B131,'Indicator Data (national)'!$B$5:$BB$14,45,FALSE)&lt;X$149,0,10-(X$150-VLOOKUP($B131,'Indicator Data (national)'!$B$5:$BB$14,45,FALSE))/(X$150-X$149)*10)))</f>
        <v>9.3333333333333339</v>
      </c>
      <c r="Y131" s="2">
        <f>IF(VLOOKUP($B131,'Indicator Data (national)'!$B$5:$BB$14,46,FALSE)="No data","x",IF(VLOOKUP($B131,'Indicator Data (national)'!$B$5:$BB$14,46,FALSE)&gt;Y$150,10,IF(VLOOKUP($B131,'Indicator Data (national)'!$B$5:$BB$14,46,FALSE)&lt;Y$149,0,(Y$150-VLOOKUP($B131,'Indicator Data (national)'!$B$5:$BB$14,46,FALSE))/(Y$150-Y$149)*10)))</f>
        <v>9</v>
      </c>
      <c r="Z131" s="156">
        <f>IF(VLOOKUP($B131,'Indicator Data (national)'!$B$5:$BB$14,48,FALSE)="No data","x",VLOOKUP($B131,'Indicator Data (national)'!$B$5:$BB$14,47,FALSE)*VLOOKUP($B131,'Indicator Data (national)'!$B$5:$BB$14,48,FALSE))</f>
        <v>16.213609009461287</v>
      </c>
      <c r="AA131" s="2">
        <f t="shared" si="29"/>
        <v>8.3786390990538706</v>
      </c>
      <c r="AB131" s="3">
        <f t="shared" si="30"/>
        <v>8.3770804987890024</v>
      </c>
      <c r="AC131" s="2">
        <f>IF(VLOOKUP($B131,'Indicator Data (national)'!$B$5:$BB$14,49,FALSE)="No data","x",IF(VLOOKUP($B131,'Indicator Data (national)'!$B$5:$BB$14,49,FALSE)&gt;AC$150,0,IF(VLOOKUP($B131,'Indicator Data (national)'!$B$5:$BB$14,49,FALSE)&lt;AC$149,10,(AC$150-VLOOKUP($B131,'Indicator Data (national)'!$B$5:$BB$14,49,FALSE))/(AC$150-AC$149)*10)))</f>
        <v>9.76</v>
      </c>
      <c r="AD131" s="2">
        <f>IF(VLOOKUP($B131,'Indicator Data (national)'!$B$5:$BB$14,50,FALSE)="No data","x",IF(VLOOKUP($B131,'Indicator Data (national)'!$B$5:$BB$14,50,FALSE)&gt;AD$150,0,IF(VLOOKUP($B131,'Indicator Data (national)'!$B$5:$BB$14,50,FALSE)&lt;AD$149,10,(AD$150-VLOOKUP($B131,'Indicator Data (national)'!$B$5:$BB$14,50,FALSE))/(AD$150-AD$149)*10)))</f>
        <v>9.6199999999999992</v>
      </c>
      <c r="AE131" s="3">
        <f t="shared" si="31"/>
        <v>9.69</v>
      </c>
      <c r="AF131" s="2">
        <f>IF(VLOOKUP($B131,'Indicator Data (national)'!$B$5:$BB$14,51,FALSE)="No data","x",IF(VLOOKUP($B131,'Indicator Data (national)'!$B$5:$BB$14,51,FALSE)&gt;AF$150,0,IF(VLOOKUP($B131,'Indicator Data (national)'!$B$5:$BB$14,51,FALSE)&lt;AF$149,10,(AF$150-VLOOKUP($B131,'Indicator Data (national)'!$B$5:$BB$14,51,FALSE))/(AF$150-AF$149)*10)))</f>
        <v>9.2104222882958418</v>
      </c>
      <c r="AG131" s="2">
        <f>IF(VLOOKUP($B131,'Indicator Data (national)'!$B$5:$BB$14,52,FALSE)="No data","x",IF(VLOOKUP($B131,'Indicator Data (national)'!$B$5:$BB$14,52,FALSE)&gt;AG$150,0,IF(VLOOKUP($B131,'Indicator Data (national)'!$B$5:$BB$14,52,FALSE)&lt;AG$149,10,(AG$150-VLOOKUP($B131,'Indicator Data (national)'!$B$5:$BB$14,52,FALSE))/(AG$150-AG$149)*10)))</f>
        <v>1.0626279999999992</v>
      </c>
      <c r="AH131" s="2" t="str">
        <f>IF(VLOOKUP($B131,'Indicator Data (national)'!$B$5:$BB$14,53,FALSE)="No data","x",IF(VLOOKUP($B131,'Indicator Data (national)'!$B$5:$BB$14,53,FALSE)&gt;AH$150,0,IF(VLOOKUP($B131,'Indicator Data (national)'!$B$5:$BB$14,53,FALSE)&lt;AH$149,10,(AH$150-VLOOKUP($B131,'Indicator Data (national)'!$B$5:$BB$14,53,FALSE))/(AH$150-AH$149)*10)))</f>
        <v>x</v>
      </c>
      <c r="AI131" s="3">
        <f t="shared" si="32"/>
        <v>5.1365251441479209</v>
      </c>
      <c r="AJ131" s="5">
        <f t="shared" ref="AJ131:AJ148" si="38">AVERAGE(AE131,AB131,AI131)</f>
        <v>7.7345352143123085</v>
      </c>
    </row>
    <row r="132" spans="1:36" s="11" customFormat="1" x14ac:dyDescent="0.25">
      <c r="A132" s="16" t="s">
        <v>546</v>
      </c>
      <c r="B132" s="11" t="s">
        <v>579</v>
      </c>
      <c r="C132" s="16" t="s">
        <v>547</v>
      </c>
      <c r="D132" s="120">
        <f>(VLOOKUP($B132,'Indicator Data (national)'!$B$5:$AP$14,39,FALSE)+VLOOKUP($B132,'Indicator Data (national)'!$B$5:$AP$14,40,FALSE)+VLOOKUP($B132,'Indicator Data (national)'!$B$5:$AP$14,41,FALSE))/VLOOKUP($B132,'Indicator Data (national)'!$B$5:$AP$14,38,FALSE)*1000000</f>
        <v>0.18517393680263772</v>
      </c>
      <c r="E132" s="2">
        <f t="shared" ref="E132:E148" si="39">IF(D132&gt;E$150,0,IF(D132&lt;E$149,10,(E$150-D132)/(E$150-E$149)*10))</f>
        <v>9.0741303159868121</v>
      </c>
      <c r="F132" s="3">
        <f t="shared" ref="F132:F148" si="40">E132</f>
        <v>9.0741303159868121</v>
      </c>
      <c r="G132" s="2">
        <f>IF(VLOOKUP($B132,'Indicator Data (national)'!$B$5:$AQ$14,30,FALSE)="No data","x",IF(VLOOKUP($B132,'Indicator Data (national)'!$B$5:$AQ$14,30,FALSE)&gt;G$150,10,IF(VLOOKUP($B132,'Indicator Data (national)'!$B$5:$AQ$14,30,FALSE)&lt;G$149,0,(G$150-VLOOKUP($B132,'Indicator Data (national)'!$B$5:$AQ$14,30,FALSE))/(G$150-G$149)*10)))</f>
        <v>8.9</v>
      </c>
      <c r="H132" s="2">
        <f>IF(VLOOKUP($B132,'Indicator Data (national)'!$B$5:$AQ$14,29,FALSE)="No data","x",IF(VLOOKUP($B132,'Indicator Data (national)'!$B$5:$AQ$14,29,FALSE)&gt;H$150,10,IF(VLOOKUP($B132,'Indicator Data (national)'!$B$5:$AQ$14,29,FALSE)&lt;H$149,0,(H$150-VLOOKUP($B132,'Indicator Data (national)'!$B$5:$AQ$14,29,FALSE))/(H$150-H$149)*10)))</f>
        <v>8.0628023147583008</v>
      </c>
      <c r="I132" s="3">
        <f t="shared" ref="I132:I148" si="41">IF(AND(G132="x",H132="x"),"x",AVERAGE(G132,H132))</f>
        <v>8.4814011573791497</v>
      </c>
      <c r="J132" s="5">
        <f t="shared" ref="J132:J148" si="42">AVERAGE(F132,I132)</f>
        <v>8.77776573668298</v>
      </c>
      <c r="K132" s="2">
        <f>IF(VLOOKUP($B132,'Indicator Data (national)'!$B$5:$AQ$14,33,FALSE)="No data","x",IF(VLOOKUP($B132,'Indicator Data (national)'!$B$5:$AQ$14,33,FALSE)&gt;K$150,10,IF(VLOOKUP($B132,'Indicator Data (national)'!$B$5:$AQ$14,33,FALSE)&lt;K$149,0,(K$150-VLOOKUP($B132,'Indicator Data (national)'!$B$5:$AQ$14,33,FALSE))/(K$150-K$149)*10)))</f>
        <v>5.4600000000000009</v>
      </c>
      <c r="L132" s="2">
        <f>IF(VLOOKUP($B132,'Indicator Data (national)'!$B$5:$AQ$14,34,FALSE)="No data","x",IF(VLOOKUP($B132,'Indicator Data (national)'!$B$5:$AQ$14,34,FALSE)&gt;L$150,10,IF(VLOOKUP($B132,'Indicator Data (national)'!$B$5:$AQ$14,34,FALSE)&lt;L$149,0,(L$150-VLOOKUP($B132,'Indicator Data (national)'!$B$5:$AQ$14,34,FALSE))/(L$150-L$149)*10)))</f>
        <v>2.7147687093239599</v>
      </c>
      <c r="M132" s="3">
        <f t="shared" ref="M132:M148" si="43">IF(AND(K132="x",L132="x"),"x",AVERAGE(K132,L132))</f>
        <v>4.0873843546619799</v>
      </c>
      <c r="N132" s="2">
        <f>IF(VLOOKUP($B132,'Indicator Data (national)'!$B$5:$AS$14,44,FALSE)="No data","x",IF(VLOOKUP($B132,'Indicator Data (national)'!$B$5:$AS$14,44,FALSE)&gt;N$150,10,IF(VLOOKUP($B132,'Indicator Data (national)'!$B$5:$AS$14,44,FALSE)&lt;N$149,0,10-(N$150-VLOOKUP($B132,'Indicator Data (national)'!$B$5:$AS$14,44,FALSE))/(N$150-N$149)*10)))</f>
        <v>3.4444444444444446</v>
      </c>
      <c r="O132" s="2">
        <f>IF(VLOOKUP($B132,'Indicator Data (national)'!$B$5:$AS$14,42,FALSE)="No data","x",IF(VLOOKUP($B132,'Indicator Data (national)'!$B$5:$AS$14,42,FALSE)&gt;O$150,0,IF(VLOOKUP($B132,'Indicator Data (national)'!$B$5:$AS$14,42,FALSE)&lt;O$149,10,(O$150-VLOOKUP($B132,'Indicator Data (national)'!$B$5:$AS$14,42,FALSE))/(O$150-O$149)*10)))</f>
        <v>10</v>
      </c>
      <c r="P132" s="158">
        <f t="shared" ref="P132:P148" si="44">IF(AND(N132="x",O132="x"),"x",AVERAGE(O132,N132))</f>
        <v>6.7222222222222223</v>
      </c>
      <c r="Q132" s="2">
        <f>IF(VLOOKUP($B132,'Indicator Data (national)'!$B$5:$Q$14,16,FALSE)="No data","x",IF(VLOOKUP($B132,'Indicator Data (national)'!$B$5:$Q$14,16,FALSE)&gt;Q$150,0,IF(VLOOKUP($B132,'Indicator Data (national)'!$B$5:$Q$14,16,FALSE)&lt;Q$149,10,(Q$150-VLOOKUP($B132,'Indicator Data (national)'!$B$5:$Q$14,16,FALSE))/(Q$150-Q$149)*10)))</f>
        <v>7.1999999999999993</v>
      </c>
      <c r="R132" s="158">
        <f t="shared" ref="R132:R148" si="45">Q132</f>
        <v>7.1999999999999993</v>
      </c>
      <c r="S132" s="3">
        <f t="shared" si="36"/>
        <v>6.9611111111111104</v>
      </c>
      <c r="T132" s="2">
        <f>IF(VLOOKUP($B132,'Indicator Data (national)'!$B$5:$BC$14,43,FALSE)="No data","x",IF(VLOOKUP($B132,'Indicator Data (national)'!$B$5:$BC$14,43,FALSE)&gt;T$150,10,IF(VLOOKUP($B132,'Indicator Data (national)'!$B$5:$BC$14,43,FALSE)&lt;T$149,0,(T$150-VLOOKUP($B132,'Indicator Data (national)'!$B$5:$BC$14,43,FALSE))/(T$150-T$149)*10)))</f>
        <v>7.313265781810947</v>
      </c>
      <c r="U132" s="3">
        <f t="shared" ref="U132:U148" si="46">T132</f>
        <v>7.313265781810947</v>
      </c>
      <c r="V132" s="5">
        <f t="shared" si="37"/>
        <v>6.1205870825280124</v>
      </c>
      <c r="W132" s="2">
        <f>IF(VLOOKUP($B132,'Indicator Data (national)'!$B$5:$AS$14,37,FALSE)="No data","x",IF(VLOOKUP($B132,'Indicator Data (national)'!$B$5:$AS$14,37,FALSE)&gt;W$150,10,IF(VLOOKUP($B132,'Indicator Data (national)'!$B$5:$AS$14,37,FALSE)&lt;W$149,0,(LOG(W$150)-LOG(VLOOKUP($B132,'Indicator Data (national)'!$B$5:$AS$14,37,FALSE)))/(LOG(W$150)-LOG(W$149))*10)))</f>
        <v>6.7963495627688042</v>
      </c>
      <c r="X132" s="2">
        <f>IF(VLOOKUP($B132,'Indicator Data (national)'!$B$5:$BB$14,45,FALSE)="No data","x",IF(VLOOKUP($B132,'Indicator Data (national)'!$B$5:$BB$14,45,FALSE)&gt;X$150,10,IF(VLOOKUP($B132,'Indicator Data (national)'!$B$5:$BB$14,45,FALSE)&lt;X$149,0,10-(X$150-VLOOKUP($B132,'Indicator Data (national)'!$B$5:$BB$14,45,FALSE))/(X$150-X$149)*10)))</f>
        <v>9.3333333333333339</v>
      </c>
      <c r="Y132" s="2">
        <f>IF(VLOOKUP($B132,'Indicator Data (national)'!$B$5:$BB$14,46,FALSE)="No data","x",IF(VLOOKUP($B132,'Indicator Data (national)'!$B$5:$BB$14,46,FALSE)&gt;Y$150,10,IF(VLOOKUP($B132,'Indicator Data (national)'!$B$5:$BB$14,46,FALSE)&lt;Y$149,0,(Y$150-VLOOKUP($B132,'Indicator Data (national)'!$B$5:$BB$14,46,FALSE))/(Y$150-Y$149)*10)))</f>
        <v>9</v>
      </c>
      <c r="Z132" s="156">
        <f>IF(VLOOKUP($B132,'Indicator Data (national)'!$B$5:$BB$14,48,FALSE)="No data","x",VLOOKUP($B132,'Indicator Data (national)'!$B$5:$BB$14,47,FALSE)*VLOOKUP($B132,'Indicator Data (national)'!$B$5:$BB$14,48,FALSE))</f>
        <v>16.213609009461287</v>
      </c>
      <c r="AA132" s="2">
        <f t="shared" ref="AA132:AA148" si="47">IF(Z132="x","x",IF(Z132&gt;AA$150,0,IF(Z132&lt;AA$149,10,(AA$150-Z132)/(AA$150-AA$149)*10)))</f>
        <v>8.3786390990538706</v>
      </c>
      <c r="AB132" s="3">
        <f t="shared" ref="AB132:AB148" si="48">IF(AND(W132="x",X132="x",Y132="x",AA132="x"),"x",AVERAGE(X132,Y132,AA132,W132))</f>
        <v>8.3770804987890024</v>
      </c>
      <c r="AC132" s="2">
        <f>IF(VLOOKUP($B132,'Indicator Data (national)'!$B$5:$BB$14,49,FALSE)="No data","x",IF(VLOOKUP($B132,'Indicator Data (national)'!$B$5:$BB$14,49,FALSE)&gt;AC$150,0,IF(VLOOKUP($B132,'Indicator Data (national)'!$B$5:$BB$14,49,FALSE)&lt;AC$149,10,(AC$150-VLOOKUP($B132,'Indicator Data (national)'!$B$5:$BB$14,49,FALSE))/(AC$150-AC$149)*10)))</f>
        <v>9.76</v>
      </c>
      <c r="AD132" s="2">
        <f>IF(VLOOKUP($B132,'Indicator Data (national)'!$B$5:$BB$14,50,FALSE)="No data","x",IF(VLOOKUP($B132,'Indicator Data (national)'!$B$5:$BB$14,50,FALSE)&gt;AD$150,0,IF(VLOOKUP($B132,'Indicator Data (national)'!$B$5:$BB$14,50,FALSE)&lt;AD$149,10,(AD$150-VLOOKUP($B132,'Indicator Data (national)'!$B$5:$BB$14,50,FALSE))/(AD$150-AD$149)*10)))</f>
        <v>9.6199999999999992</v>
      </c>
      <c r="AE132" s="3">
        <f t="shared" ref="AE132:AE148" si="49">IF(AND(AC132="x",AD132="x"),"x",AVERAGE(AC132,AD132))</f>
        <v>9.69</v>
      </c>
      <c r="AF132" s="2">
        <f>IF(VLOOKUP($B132,'Indicator Data (national)'!$B$5:$BB$14,51,FALSE)="No data","x",IF(VLOOKUP($B132,'Indicator Data (national)'!$B$5:$BB$14,51,FALSE)&gt;AF$150,0,IF(VLOOKUP($B132,'Indicator Data (national)'!$B$5:$BB$14,51,FALSE)&lt;AF$149,10,(AF$150-VLOOKUP($B132,'Indicator Data (national)'!$B$5:$BB$14,51,FALSE))/(AF$150-AF$149)*10)))</f>
        <v>9.2104222882958418</v>
      </c>
      <c r="AG132" s="2">
        <f>IF(VLOOKUP($B132,'Indicator Data (national)'!$B$5:$BB$14,52,FALSE)="No data","x",IF(VLOOKUP($B132,'Indicator Data (national)'!$B$5:$BB$14,52,FALSE)&gt;AG$150,0,IF(VLOOKUP($B132,'Indicator Data (national)'!$B$5:$BB$14,52,FALSE)&lt;AG$149,10,(AG$150-VLOOKUP($B132,'Indicator Data (national)'!$B$5:$BB$14,52,FALSE))/(AG$150-AG$149)*10)))</f>
        <v>1.0626279999999992</v>
      </c>
      <c r="AH132" s="2" t="str">
        <f>IF(VLOOKUP($B132,'Indicator Data (national)'!$B$5:$BB$14,53,FALSE)="No data","x",IF(VLOOKUP($B132,'Indicator Data (national)'!$B$5:$BB$14,53,FALSE)&gt;AH$150,0,IF(VLOOKUP($B132,'Indicator Data (national)'!$B$5:$BB$14,53,FALSE)&lt;AH$149,10,(AH$150-VLOOKUP($B132,'Indicator Data (national)'!$B$5:$BB$14,53,FALSE))/(AH$150-AH$149)*10)))</f>
        <v>x</v>
      </c>
      <c r="AI132" s="3">
        <f t="shared" ref="AI132:AI148" si="50">IF(AND(AF132="x",AG132="x",AH132="x"),"x",AVERAGE(AG132,AF132,AH132))</f>
        <v>5.1365251441479209</v>
      </c>
      <c r="AJ132" s="5">
        <f t="shared" si="38"/>
        <v>7.7345352143123085</v>
      </c>
    </row>
    <row r="133" spans="1:36" s="11" customFormat="1" x14ac:dyDescent="0.25">
      <c r="A133" s="16" t="s">
        <v>548</v>
      </c>
      <c r="B133" s="11" t="s">
        <v>579</v>
      </c>
      <c r="C133" s="16" t="s">
        <v>549</v>
      </c>
      <c r="D133" s="120">
        <f>(VLOOKUP($B133,'Indicator Data (national)'!$B$5:$AP$14,39,FALSE)+VLOOKUP($B133,'Indicator Data (national)'!$B$5:$AP$14,40,FALSE)+VLOOKUP($B133,'Indicator Data (national)'!$B$5:$AP$14,41,FALSE))/VLOOKUP($B133,'Indicator Data (national)'!$B$5:$AP$14,38,FALSE)*1000000</f>
        <v>0.18517393680263772</v>
      </c>
      <c r="E133" s="2">
        <f t="shared" si="39"/>
        <v>9.0741303159868121</v>
      </c>
      <c r="F133" s="3">
        <f t="shared" si="40"/>
        <v>9.0741303159868121</v>
      </c>
      <c r="G133" s="2">
        <f>IF(VLOOKUP($B133,'Indicator Data (national)'!$B$5:$AQ$14,30,FALSE)="No data","x",IF(VLOOKUP($B133,'Indicator Data (national)'!$B$5:$AQ$14,30,FALSE)&gt;G$150,10,IF(VLOOKUP($B133,'Indicator Data (national)'!$B$5:$AQ$14,30,FALSE)&lt;G$149,0,(G$150-VLOOKUP($B133,'Indicator Data (national)'!$B$5:$AQ$14,30,FALSE))/(G$150-G$149)*10)))</f>
        <v>8.9</v>
      </c>
      <c r="H133" s="2">
        <f>IF(VLOOKUP($B133,'Indicator Data (national)'!$B$5:$AQ$14,29,FALSE)="No data","x",IF(VLOOKUP($B133,'Indicator Data (national)'!$B$5:$AQ$14,29,FALSE)&gt;H$150,10,IF(VLOOKUP($B133,'Indicator Data (national)'!$B$5:$AQ$14,29,FALSE)&lt;H$149,0,(H$150-VLOOKUP($B133,'Indicator Data (national)'!$B$5:$AQ$14,29,FALSE))/(H$150-H$149)*10)))</f>
        <v>8.0628023147583008</v>
      </c>
      <c r="I133" s="3">
        <f t="shared" si="41"/>
        <v>8.4814011573791497</v>
      </c>
      <c r="J133" s="5">
        <f t="shared" si="42"/>
        <v>8.77776573668298</v>
      </c>
      <c r="K133" s="2">
        <f>IF(VLOOKUP($B133,'Indicator Data (national)'!$B$5:$AQ$14,33,FALSE)="No data","x",IF(VLOOKUP($B133,'Indicator Data (national)'!$B$5:$AQ$14,33,FALSE)&gt;K$150,10,IF(VLOOKUP($B133,'Indicator Data (national)'!$B$5:$AQ$14,33,FALSE)&lt;K$149,0,(K$150-VLOOKUP($B133,'Indicator Data (national)'!$B$5:$AQ$14,33,FALSE))/(K$150-K$149)*10)))</f>
        <v>5.4600000000000009</v>
      </c>
      <c r="L133" s="2">
        <f>IF(VLOOKUP($B133,'Indicator Data (national)'!$B$5:$AQ$14,34,FALSE)="No data","x",IF(VLOOKUP($B133,'Indicator Data (national)'!$B$5:$AQ$14,34,FALSE)&gt;L$150,10,IF(VLOOKUP($B133,'Indicator Data (national)'!$B$5:$AQ$14,34,FALSE)&lt;L$149,0,(L$150-VLOOKUP($B133,'Indicator Data (national)'!$B$5:$AQ$14,34,FALSE))/(L$150-L$149)*10)))</f>
        <v>2.7147687093239599</v>
      </c>
      <c r="M133" s="3">
        <f t="shared" si="43"/>
        <v>4.0873843546619799</v>
      </c>
      <c r="N133" s="2">
        <f>IF(VLOOKUP($B133,'Indicator Data (national)'!$B$5:$AS$14,44,FALSE)="No data","x",IF(VLOOKUP($B133,'Indicator Data (national)'!$B$5:$AS$14,44,FALSE)&gt;N$150,10,IF(VLOOKUP($B133,'Indicator Data (national)'!$B$5:$AS$14,44,FALSE)&lt;N$149,0,10-(N$150-VLOOKUP($B133,'Indicator Data (national)'!$B$5:$AS$14,44,FALSE))/(N$150-N$149)*10)))</f>
        <v>3.4444444444444446</v>
      </c>
      <c r="O133" s="2">
        <f>IF(VLOOKUP($B133,'Indicator Data (national)'!$B$5:$AS$14,42,FALSE)="No data","x",IF(VLOOKUP($B133,'Indicator Data (national)'!$B$5:$AS$14,42,FALSE)&gt;O$150,0,IF(VLOOKUP($B133,'Indicator Data (national)'!$B$5:$AS$14,42,FALSE)&lt;O$149,10,(O$150-VLOOKUP($B133,'Indicator Data (national)'!$B$5:$AS$14,42,FALSE))/(O$150-O$149)*10)))</f>
        <v>10</v>
      </c>
      <c r="P133" s="158">
        <f t="shared" si="44"/>
        <v>6.7222222222222223</v>
      </c>
      <c r="Q133" s="2">
        <f>IF(VLOOKUP($B133,'Indicator Data (national)'!$B$5:$Q$14,16,FALSE)="No data","x",IF(VLOOKUP($B133,'Indicator Data (national)'!$B$5:$Q$14,16,FALSE)&gt;Q$150,0,IF(VLOOKUP($B133,'Indicator Data (national)'!$B$5:$Q$14,16,FALSE)&lt;Q$149,10,(Q$150-VLOOKUP($B133,'Indicator Data (national)'!$B$5:$Q$14,16,FALSE))/(Q$150-Q$149)*10)))</f>
        <v>7.1999999999999993</v>
      </c>
      <c r="R133" s="158">
        <f t="shared" si="45"/>
        <v>7.1999999999999993</v>
      </c>
      <c r="S133" s="3">
        <f t="shared" si="36"/>
        <v>6.9611111111111104</v>
      </c>
      <c r="T133" s="2">
        <f>IF(VLOOKUP($B133,'Indicator Data (national)'!$B$5:$BC$14,43,FALSE)="No data","x",IF(VLOOKUP($B133,'Indicator Data (national)'!$B$5:$BC$14,43,FALSE)&gt;T$150,10,IF(VLOOKUP($B133,'Indicator Data (national)'!$B$5:$BC$14,43,FALSE)&lt;T$149,0,(T$150-VLOOKUP($B133,'Indicator Data (national)'!$B$5:$BC$14,43,FALSE))/(T$150-T$149)*10)))</f>
        <v>7.313265781810947</v>
      </c>
      <c r="U133" s="3">
        <f t="shared" si="46"/>
        <v>7.313265781810947</v>
      </c>
      <c r="V133" s="5">
        <f t="shared" si="37"/>
        <v>6.1205870825280124</v>
      </c>
      <c r="W133" s="2">
        <f>IF(VLOOKUP($B133,'Indicator Data (national)'!$B$5:$AS$14,37,FALSE)="No data","x",IF(VLOOKUP($B133,'Indicator Data (national)'!$B$5:$AS$14,37,FALSE)&gt;W$150,10,IF(VLOOKUP($B133,'Indicator Data (national)'!$B$5:$AS$14,37,FALSE)&lt;W$149,0,(LOG(W$150)-LOG(VLOOKUP($B133,'Indicator Data (national)'!$B$5:$AS$14,37,FALSE)))/(LOG(W$150)-LOG(W$149))*10)))</f>
        <v>6.7963495627688042</v>
      </c>
      <c r="X133" s="2">
        <f>IF(VLOOKUP($B133,'Indicator Data (national)'!$B$5:$BB$14,45,FALSE)="No data","x",IF(VLOOKUP($B133,'Indicator Data (national)'!$B$5:$BB$14,45,FALSE)&gt;X$150,10,IF(VLOOKUP($B133,'Indicator Data (national)'!$B$5:$BB$14,45,FALSE)&lt;X$149,0,10-(X$150-VLOOKUP($B133,'Indicator Data (national)'!$B$5:$BB$14,45,FALSE))/(X$150-X$149)*10)))</f>
        <v>9.3333333333333339</v>
      </c>
      <c r="Y133" s="2">
        <f>IF(VLOOKUP($B133,'Indicator Data (national)'!$B$5:$BB$14,46,FALSE)="No data","x",IF(VLOOKUP($B133,'Indicator Data (national)'!$B$5:$BB$14,46,FALSE)&gt;Y$150,10,IF(VLOOKUP($B133,'Indicator Data (national)'!$B$5:$BB$14,46,FALSE)&lt;Y$149,0,(Y$150-VLOOKUP($B133,'Indicator Data (national)'!$B$5:$BB$14,46,FALSE))/(Y$150-Y$149)*10)))</f>
        <v>9</v>
      </c>
      <c r="Z133" s="156">
        <f>IF(VLOOKUP($B133,'Indicator Data (national)'!$B$5:$BB$14,48,FALSE)="No data","x",VLOOKUP($B133,'Indicator Data (national)'!$B$5:$BB$14,47,FALSE)*VLOOKUP($B133,'Indicator Data (national)'!$B$5:$BB$14,48,FALSE))</f>
        <v>16.213609009461287</v>
      </c>
      <c r="AA133" s="2">
        <f t="shared" si="47"/>
        <v>8.3786390990538706</v>
      </c>
      <c r="AB133" s="3">
        <f t="shared" si="48"/>
        <v>8.3770804987890024</v>
      </c>
      <c r="AC133" s="2">
        <f>IF(VLOOKUP($B133,'Indicator Data (national)'!$B$5:$BB$14,49,FALSE)="No data","x",IF(VLOOKUP($B133,'Indicator Data (national)'!$B$5:$BB$14,49,FALSE)&gt;AC$150,0,IF(VLOOKUP($B133,'Indicator Data (national)'!$B$5:$BB$14,49,FALSE)&lt;AC$149,10,(AC$150-VLOOKUP($B133,'Indicator Data (national)'!$B$5:$BB$14,49,FALSE))/(AC$150-AC$149)*10)))</f>
        <v>9.76</v>
      </c>
      <c r="AD133" s="2">
        <f>IF(VLOOKUP($B133,'Indicator Data (national)'!$B$5:$BB$14,50,FALSE)="No data","x",IF(VLOOKUP($B133,'Indicator Data (national)'!$B$5:$BB$14,50,FALSE)&gt;AD$150,0,IF(VLOOKUP($B133,'Indicator Data (national)'!$B$5:$BB$14,50,FALSE)&lt;AD$149,10,(AD$150-VLOOKUP($B133,'Indicator Data (national)'!$B$5:$BB$14,50,FALSE))/(AD$150-AD$149)*10)))</f>
        <v>9.6199999999999992</v>
      </c>
      <c r="AE133" s="3">
        <f t="shared" si="49"/>
        <v>9.69</v>
      </c>
      <c r="AF133" s="2">
        <f>IF(VLOOKUP($B133,'Indicator Data (national)'!$B$5:$BB$14,51,FALSE)="No data","x",IF(VLOOKUP($B133,'Indicator Data (national)'!$B$5:$BB$14,51,FALSE)&gt;AF$150,0,IF(VLOOKUP($B133,'Indicator Data (national)'!$B$5:$BB$14,51,FALSE)&lt;AF$149,10,(AF$150-VLOOKUP($B133,'Indicator Data (national)'!$B$5:$BB$14,51,FALSE))/(AF$150-AF$149)*10)))</f>
        <v>9.2104222882958418</v>
      </c>
      <c r="AG133" s="2">
        <f>IF(VLOOKUP($B133,'Indicator Data (national)'!$B$5:$BB$14,52,FALSE)="No data","x",IF(VLOOKUP($B133,'Indicator Data (national)'!$B$5:$BB$14,52,FALSE)&gt;AG$150,0,IF(VLOOKUP($B133,'Indicator Data (national)'!$B$5:$BB$14,52,FALSE)&lt;AG$149,10,(AG$150-VLOOKUP($B133,'Indicator Data (national)'!$B$5:$BB$14,52,FALSE))/(AG$150-AG$149)*10)))</f>
        <v>1.0626279999999992</v>
      </c>
      <c r="AH133" s="2" t="str">
        <f>IF(VLOOKUP($B133,'Indicator Data (national)'!$B$5:$BB$14,53,FALSE)="No data","x",IF(VLOOKUP($B133,'Indicator Data (national)'!$B$5:$BB$14,53,FALSE)&gt;AH$150,0,IF(VLOOKUP($B133,'Indicator Data (national)'!$B$5:$BB$14,53,FALSE)&lt;AH$149,10,(AH$150-VLOOKUP($B133,'Indicator Data (national)'!$B$5:$BB$14,53,FALSE))/(AH$150-AH$149)*10)))</f>
        <v>x</v>
      </c>
      <c r="AI133" s="3">
        <f t="shared" si="50"/>
        <v>5.1365251441479209</v>
      </c>
      <c r="AJ133" s="5">
        <f t="shared" si="38"/>
        <v>7.7345352143123085</v>
      </c>
    </row>
    <row r="134" spans="1:36" s="11" customFormat="1" x14ac:dyDescent="0.25">
      <c r="A134" s="16" t="s">
        <v>550</v>
      </c>
      <c r="B134" s="11" t="s">
        <v>579</v>
      </c>
      <c r="C134" s="16" t="s">
        <v>551</v>
      </c>
      <c r="D134" s="120">
        <f>(VLOOKUP($B134,'Indicator Data (national)'!$B$5:$AP$14,39,FALSE)+VLOOKUP($B134,'Indicator Data (national)'!$B$5:$AP$14,40,FALSE)+VLOOKUP($B134,'Indicator Data (national)'!$B$5:$AP$14,41,FALSE))/VLOOKUP($B134,'Indicator Data (national)'!$B$5:$AP$14,38,FALSE)*1000000</f>
        <v>0.18517393680263772</v>
      </c>
      <c r="E134" s="2">
        <f t="shared" si="39"/>
        <v>9.0741303159868121</v>
      </c>
      <c r="F134" s="3">
        <f t="shared" si="40"/>
        <v>9.0741303159868121</v>
      </c>
      <c r="G134" s="2">
        <f>IF(VLOOKUP($B134,'Indicator Data (national)'!$B$5:$AQ$14,30,FALSE)="No data","x",IF(VLOOKUP($B134,'Indicator Data (national)'!$B$5:$AQ$14,30,FALSE)&gt;G$150,10,IF(VLOOKUP($B134,'Indicator Data (national)'!$B$5:$AQ$14,30,FALSE)&lt;G$149,0,(G$150-VLOOKUP($B134,'Indicator Data (national)'!$B$5:$AQ$14,30,FALSE))/(G$150-G$149)*10)))</f>
        <v>8.9</v>
      </c>
      <c r="H134" s="2">
        <f>IF(VLOOKUP($B134,'Indicator Data (national)'!$B$5:$AQ$14,29,FALSE)="No data","x",IF(VLOOKUP($B134,'Indicator Data (national)'!$B$5:$AQ$14,29,FALSE)&gt;H$150,10,IF(VLOOKUP($B134,'Indicator Data (national)'!$B$5:$AQ$14,29,FALSE)&lt;H$149,0,(H$150-VLOOKUP($B134,'Indicator Data (national)'!$B$5:$AQ$14,29,FALSE))/(H$150-H$149)*10)))</f>
        <v>8.0628023147583008</v>
      </c>
      <c r="I134" s="3">
        <f t="shared" si="41"/>
        <v>8.4814011573791497</v>
      </c>
      <c r="J134" s="5">
        <f t="shared" si="42"/>
        <v>8.77776573668298</v>
      </c>
      <c r="K134" s="2">
        <f>IF(VLOOKUP($B134,'Indicator Data (national)'!$B$5:$AQ$14,33,FALSE)="No data","x",IF(VLOOKUP($B134,'Indicator Data (national)'!$B$5:$AQ$14,33,FALSE)&gt;K$150,10,IF(VLOOKUP($B134,'Indicator Data (national)'!$B$5:$AQ$14,33,FALSE)&lt;K$149,0,(K$150-VLOOKUP($B134,'Indicator Data (national)'!$B$5:$AQ$14,33,FALSE))/(K$150-K$149)*10)))</f>
        <v>5.4600000000000009</v>
      </c>
      <c r="L134" s="2">
        <f>IF(VLOOKUP($B134,'Indicator Data (national)'!$B$5:$AQ$14,34,FALSE)="No data","x",IF(VLOOKUP($B134,'Indicator Data (national)'!$B$5:$AQ$14,34,FALSE)&gt;L$150,10,IF(VLOOKUP($B134,'Indicator Data (national)'!$B$5:$AQ$14,34,FALSE)&lt;L$149,0,(L$150-VLOOKUP($B134,'Indicator Data (national)'!$B$5:$AQ$14,34,FALSE))/(L$150-L$149)*10)))</f>
        <v>2.7147687093239599</v>
      </c>
      <c r="M134" s="3">
        <f t="shared" si="43"/>
        <v>4.0873843546619799</v>
      </c>
      <c r="N134" s="2">
        <f>IF(VLOOKUP($B134,'Indicator Data (national)'!$B$5:$AS$14,44,FALSE)="No data","x",IF(VLOOKUP($B134,'Indicator Data (national)'!$B$5:$AS$14,44,FALSE)&gt;N$150,10,IF(VLOOKUP($B134,'Indicator Data (national)'!$B$5:$AS$14,44,FALSE)&lt;N$149,0,10-(N$150-VLOOKUP($B134,'Indicator Data (national)'!$B$5:$AS$14,44,FALSE))/(N$150-N$149)*10)))</f>
        <v>3.4444444444444446</v>
      </c>
      <c r="O134" s="2">
        <f>IF(VLOOKUP($B134,'Indicator Data (national)'!$B$5:$AS$14,42,FALSE)="No data","x",IF(VLOOKUP($B134,'Indicator Data (national)'!$B$5:$AS$14,42,FALSE)&gt;O$150,0,IF(VLOOKUP($B134,'Indicator Data (national)'!$B$5:$AS$14,42,FALSE)&lt;O$149,10,(O$150-VLOOKUP($B134,'Indicator Data (national)'!$B$5:$AS$14,42,FALSE))/(O$150-O$149)*10)))</f>
        <v>10</v>
      </c>
      <c r="P134" s="158">
        <f t="shared" si="44"/>
        <v>6.7222222222222223</v>
      </c>
      <c r="Q134" s="2">
        <f>IF(VLOOKUP($B134,'Indicator Data (national)'!$B$5:$Q$14,16,FALSE)="No data","x",IF(VLOOKUP($B134,'Indicator Data (national)'!$B$5:$Q$14,16,FALSE)&gt;Q$150,0,IF(VLOOKUP($B134,'Indicator Data (national)'!$B$5:$Q$14,16,FALSE)&lt;Q$149,10,(Q$150-VLOOKUP($B134,'Indicator Data (national)'!$B$5:$Q$14,16,FALSE))/(Q$150-Q$149)*10)))</f>
        <v>7.1999999999999993</v>
      </c>
      <c r="R134" s="158">
        <f t="shared" si="45"/>
        <v>7.1999999999999993</v>
      </c>
      <c r="S134" s="3">
        <f t="shared" si="36"/>
        <v>6.9611111111111104</v>
      </c>
      <c r="T134" s="2">
        <f>IF(VLOOKUP($B134,'Indicator Data (national)'!$B$5:$BC$14,43,FALSE)="No data","x",IF(VLOOKUP($B134,'Indicator Data (national)'!$B$5:$BC$14,43,FALSE)&gt;T$150,10,IF(VLOOKUP($B134,'Indicator Data (national)'!$B$5:$BC$14,43,FALSE)&lt;T$149,0,(T$150-VLOOKUP($B134,'Indicator Data (national)'!$B$5:$BC$14,43,FALSE))/(T$150-T$149)*10)))</f>
        <v>7.313265781810947</v>
      </c>
      <c r="U134" s="3">
        <f t="shared" si="46"/>
        <v>7.313265781810947</v>
      </c>
      <c r="V134" s="5">
        <f t="shared" si="37"/>
        <v>6.1205870825280124</v>
      </c>
      <c r="W134" s="2">
        <f>IF(VLOOKUP($B134,'Indicator Data (national)'!$B$5:$AS$14,37,FALSE)="No data","x",IF(VLOOKUP($B134,'Indicator Data (national)'!$B$5:$AS$14,37,FALSE)&gt;W$150,10,IF(VLOOKUP($B134,'Indicator Data (national)'!$B$5:$AS$14,37,FALSE)&lt;W$149,0,(LOG(W$150)-LOG(VLOOKUP($B134,'Indicator Data (national)'!$B$5:$AS$14,37,FALSE)))/(LOG(W$150)-LOG(W$149))*10)))</f>
        <v>6.7963495627688042</v>
      </c>
      <c r="X134" s="2">
        <f>IF(VLOOKUP($B134,'Indicator Data (national)'!$B$5:$BB$14,45,FALSE)="No data","x",IF(VLOOKUP($B134,'Indicator Data (national)'!$B$5:$BB$14,45,FALSE)&gt;X$150,10,IF(VLOOKUP($B134,'Indicator Data (national)'!$B$5:$BB$14,45,FALSE)&lt;X$149,0,10-(X$150-VLOOKUP($B134,'Indicator Data (national)'!$B$5:$BB$14,45,FALSE))/(X$150-X$149)*10)))</f>
        <v>9.3333333333333339</v>
      </c>
      <c r="Y134" s="2">
        <f>IF(VLOOKUP($B134,'Indicator Data (national)'!$B$5:$BB$14,46,FALSE)="No data","x",IF(VLOOKUP($B134,'Indicator Data (national)'!$B$5:$BB$14,46,FALSE)&gt;Y$150,10,IF(VLOOKUP($B134,'Indicator Data (national)'!$B$5:$BB$14,46,FALSE)&lt;Y$149,0,(Y$150-VLOOKUP($B134,'Indicator Data (national)'!$B$5:$BB$14,46,FALSE))/(Y$150-Y$149)*10)))</f>
        <v>9</v>
      </c>
      <c r="Z134" s="156">
        <f>IF(VLOOKUP($B134,'Indicator Data (national)'!$B$5:$BB$14,48,FALSE)="No data","x",VLOOKUP($B134,'Indicator Data (national)'!$B$5:$BB$14,47,FALSE)*VLOOKUP($B134,'Indicator Data (national)'!$B$5:$BB$14,48,FALSE))</f>
        <v>16.213609009461287</v>
      </c>
      <c r="AA134" s="2">
        <f t="shared" si="47"/>
        <v>8.3786390990538706</v>
      </c>
      <c r="AB134" s="3">
        <f t="shared" si="48"/>
        <v>8.3770804987890024</v>
      </c>
      <c r="AC134" s="2">
        <f>IF(VLOOKUP($B134,'Indicator Data (national)'!$B$5:$BB$14,49,FALSE)="No data","x",IF(VLOOKUP($B134,'Indicator Data (national)'!$B$5:$BB$14,49,FALSE)&gt;AC$150,0,IF(VLOOKUP($B134,'Indicator Data (national)'!$B$5:$BB$14,49,FALSE)&lt;AC$149,10,(AC$150-VLOOKUP($B134,'Indicator Data (national)'!$B$5:$BB$14,49,FALSE))/(AC$150-AC$149)*10)))</f>
        <v>9.76</v>
      </c>
      <c r="AD134" s="2">
        <f>IF(VLOOKUP($B134,'Indicator Data (national)'!$B$5:$BB$14,50,FALSE)="No data","x",IF(VLOOKUP($B134,'Indicator Data (national)'!$B$5:$BB$14,50,FALSE)&gt;AD$150,0,IF(VLOOKUP($B134,'Indicator Data (national)'!$B$5:$BB$14,50,FALSE)&lt;AD$149,10,(AD$150-VLOOKUP($B134,'Indicator Data (national)'!$B$5:$BB$14,50,FALSE))/(AD$150-AD$149)*10)))</f>
        <v>9.6199999999999992</v>
      </c>
      <c r="AE134" s="3">
        <f t="shared" si="49"/>
        <v>9.69</v>
      </c>
      <c r="AF134" s="2">
        <f>IF(VLOOKUP($B134,'Indicator Data (national)'!$B$5:$BB$14,51,FALSE)="No data","x",IF(VLOOKUP($B134,'Indicator Data (national)'!$B$5:$BB$14,51,FALSE)&gt;AF$150,0,IF(VLOOKUP($B134,'Indicator Data (national)'!$B$5:$BB$14,51,FALSE)&lt;AF$149,10,(AF$150-VLOOKUP($B134,'Indicator Data (national)'!$B$5:$BB$14,51,FALSE))/(AF$150-AF$149)*10)))</f>
        <v>9.2104222882958418</v>
      </c>
      <c r="AG134" s="2">
        <f>IF(VLOOKUP($B134,'Indicator Data (national)'!$B$5:$BB$14,52,FALSE)="No data","x",IF(VLOOKUP($B134,'Indicator Data (national)'!$B$5:$BB$14,52,FALSE)&gt;AG$150,0,IF(VLOOKUP($B134,'Indicator Data (national)'!$B$5:$BB$14,52,FALSE)&lt;AG$149,10,(AG$150-VLOOKUP($B134,'Indicator Data (national)'!$B$5:$BB$14,52,FALSE))/(AG$150-AG$149)*10)))</f>
        <v>1.0626279999999992</v>
      </c>
      <c r="AH134" s="2" t="str">
        <f>IF(VLOOKUP($B134,'Indicator Data (national)'!$B$5:$BB$14,53,FALSE)="No data","x",IF(VLOOKUP($B134,'Indicator Data (national)'!$B$5:$BB$14,53,FALSE)&gt;AH$150,0,IF(VLOOKUP($B134,'Indicator Data (national)'!$B$5:$BB$14,53,FALSE)&lt;AH$149,10,(AH$150-VLOOKUP($B134,'Indicator Data (national)'!$B$5:$BB$14,53,FALSE))/(AH$150-AH$149)*10)))</f>
        <v>x</v>
      </c>
      <c r="AI134" s="3">
        <f t="shared" si="50"/>
        <v>5.1365251441479209</v>
      </c>
      <c r="AJ134" s="5">
        <f t="shared" si="38"/>
        <v>7.7345352143123085</v>
      </c>
    </row>
    <row r="135" spans="1:36" s="11" customFormat="1" x14ac:dyDescent="0.25">
      <c r="A135" s="16" t="s">
        <v>552</v>
      </c>
      <c r="B135" s="11" t="s">
        <v>579</v>
      </c>
      <c r="C135" s="16" t="s">
        <v>553</v>
      </c>
      <c r="D135" s="120">
        <f>(VLOOKUP($B135,'Indicator Data (national)'!$B$5:$AP$14,39,FALSE)+VLOOKUP($B135,'Indicator Data (national)'!$B$5:$AP$14,40,FALSE)+VLOOKUP($B135,'Indicator Data (national)'!$B$5:$AP$14,41,FALSE))/VLOOKUP($B135,'Indicator Data (national)'!$B$5:$AP$14,38,FALSE)*1000000</f>
        <v>0.18517393680263772</v>
      </c>
      <c r="E135" s="2">
        <f t="shared" si="39"/>
        <v>9.0741303159868121</v>
      </c>
      <c r="F135" s="3">
        <f t="shared" si="40"/>
        <v>9.0741303159868121</v>
      </c>
      <c r="G135" s="2">
        <f>IF(VLOOKUP($B135,'Indicator Data (national)'!$B$5:$AQ$14,30,FALSE)="No data","x",IF(VLOOKUP($B135,'Indicator Data (national)'!$B$5:$AQ$14,30,FALSE)&gt;G$150,10,IF(VLOOKUP($B135,'Indicator Data (national)'!$B$5:$AQ$14,30,FALSE)&lt;G$149,0,(G$150-VLOOKUP($B135,'Indicator Data (national)'!$B$5:$AQ$14,30,FALSE))/(G$150-G$149)*10)))</f>
        <v>8.9</v>
      </c>
      <c r="H135" s="2">
        <f>IF(VLOOKUP($B135,'Indicator Data (national)'!$B$5:$AQ$14,29,FALSE)="No data","x",IF(VLOOKUP($B135,'Indicator Data (national)'!$B$5:$AQ$14,29,FALSE)&gt;H$150,10,IF(VLOOKUP($B135,'Indicator Data (national)'!$B$5:$AQ$14,29,FALSE)&lt;H$149,0,(H$150-VLOOKUP($B135,'Indicator Data (national)'!$B$5:$AQ$14,29,FALSE))/(H$150-H$149)*10)))</f>
        <v>8.0628023147583008</v>
      </c>
      <c r="I135" s="3">
        <f t="shared" si="41"/>
        <v>8.4814011573791497</v>
      </c>
      <c r="J135" s="5">
        <f t="shared" si="42"/>
        <v>8.77776573668298</v>
      </c>
      <c r="K135" s="2">
        <f>IF(VLOOKUP($B135,'Indicator Data (national)'!$B$5:$AQ$14,33,FALSE)="No data","x",IF(VLOOKUP($B135,'Indicator Data (national)'!$B$5:$AQ$14,33,FALSE)&gt;K$150,10,IF(VLOOKUP($B135,'Indicator Data (national)'!$B$5:$AQ$14,33,FALSE)&lt;K$149,0,(K$150-VLOOKUP($B135,'Indicator Data (national)'!$B$5:$AQ$14,33,FALSE))/(K$150-K$149)*10)))</f>
        <v>5.4600000000000009</v>
      </c>
      <c r="L135" s="2">
        <f>IF(VLOOKUP($B135,'Indicator Data (national)'!$B$5:$AQ$14,34,FALSE)="No data","x",IF(VLOOKUP($B135,'Indicator Data (national)'!$B$5:$AQ$14,34,FALSE)&gt;L$150,10,IF(VLOOKUP($B135,'Indicator Data (national)'!$B$5:$AQ$14,34,FALSE)&lt;L$149,0,(L$150-VLOOKUP($B135,'Indicator Data (national)'!$B$5:$AQ$14,34,FALSE))/(L$150-L$149)*10)))</f>
        <v>2.7147687093239599</v>
      </c>
      <c r="M135" s="3">
        <f t="shared" si="43"/>
        <v>4.0873843546619799</v>
      </c>
      <c r="N135" s="2">
        <f>IF(VLOOKUP($B135,'Indicator Data (national)'!$B$5:$AS$14,44,FALSE)="No data","x",IF(VLOOKUP($B135,'Indicator Data (national)'!$B$5:$AS$14,44,FALSE)&gt;N$150,10,IF(VLOOKUP($B135,'Indicator Data (national)'!$B$5:$AS$14,44,FALSE)&lt;N$149,0,10-(N$150-VLOOKUP($B135,'Indicator Data (national)'!$B$5:$AS$14,44,FALSE))/(N$150-N$149)*10)))</f>
        <v>3.4444444444444446</v>
      </c>
      <c r="O135" s="2">
        <f>IF(VLOOKUP($B135,'Indicator Data (national)'!$B$5:$AS$14,42,FALSE)="No data","x",IF(VLOOKUP($B135,'Indicator Data (national)'!$B$5:$AS$14,42,FALSE)&gt;O$150,0,IF(VLOOKUP($B135,'Indicator Data (national)'!$B$5:$AS$14,42,FALSE)&lt;O$149,10,(O$150-VLOOKUP($B135,'Indicator Data (national)'!$B$5:$AS$14,42,FALSE))/(O$150-O$149)*10)))</f>
        <v>10</v>
      </c>
      <c r="P135" s="158">
        <f t="shared" si="44"/>
        <v>6.7222222222222223</v>
      </c>
      <c r="Q135" s="2">
        <f>IF(VLOOKUP($B135,'Indicator Data (national)'!$B$5:$Q$14,16,FALSE)="No data","x",IF(VLOOKUP($B135,'Indicator Data (national)'!$B$5:$Q$14,16,FALSE)&gt;Q$150,0,IF(VLOOKUP($B135,'Indicator Data (national)'!$B$5:$Q$14,16,FALSE)&lt;Q$149,10,(Q$150-VLOOKUP($B135,'Indicator Data (national)'!$B$5:$Q$14,16,FALSE))/(Q$150-Q$149)*10)))</f>
        <v>7.1999999999999993</v>
      </c>
      <c r="R135" s="158">
        <f t="shared" si="45"/>
        <v>7.1999999999999993</v>
      </c>
      <c r="S135" s="3">
        <f t="shared" si="36"/>
        <v>6.9611111111111104</v>
      </c>
      <c r="T135" s="2">
        <f>IF(VLOOKUP($B135,'Indicator Data (national)'!$B$5:$BC$14,43,FALSE)="No data","x",IF(VLOOKUP($B135,'Indicator Data (national)'!$B$5:$BC$14,43,FALSE)&gt;T$150,10,IF(VLOOKUP($B135,'Indicator Data (national)'!$B$5:$BC$14,43,FALSE)&lt;T$149,0,(T$150-VLOOKUP($B135,'Indicator Data (national)'!$B$5:$BC$14,43,FALSE))/(T$150-T$149)*10)))</f>
        <v>7.313265781810947</v>
      </c>
      <c r="U135" s="3">
        <f t="shared" si="46"/>
        <v>7.313265781810947</v>
      </c>
      <c r="V135" s="5">
        <f t="shared" si="37"/>
        <v>6.1205870825280124</v>
      </c>
      <c r="W135" s="2">
        <f>IF(VLOOKUP($B135,'Indicator Data (national)'!$B$5:$AS$14,37,FALSE)="No data","x",IF(VLOOKUP($B135,'Indicator Data (national)'!$B$5:$AS$14,37,FALSE)&gt;W$150,10,IF(VLOOKUP($B135,'Indicator Data (national)'!$B$5:$AS$14,37,FALSE)&lt;W$149,0,(LOG(W$150)-LOG(VLOOKUP($B135,'Indicator Data (national)'!$B$5:$AS$14,37,FALSE)))/(LOG(W$150)-LOG(W$149))*10)))</f>
        <v>6.7963495627688042</v>
      </c>
      <c r="X135" s="2">
        <f>IF(VLOOKUP($B135,'Indicator Data (national)'!$B$5:$BB$14,45,FALSE)="No data","x",IF(VLOOKUP($B135,'Indicator Data (national)'!$B$5:$BB$14,45,FALSE)&gt;X$150,10,IF(VLOOKUP($B135,'Indicator Data (national)'!$B$5:$BB$14,45,FALSE)&lt;X$149,0,10-(X$150-VLOOKUP($B135,'Indicator Data (national)'!$B$5:$BB$14,45,FALSE))/(X$150-X$149)*10)))</f>
        <v>9.3333333333333339</v>
      </c>
      <c r="Y135" s="2">
        <f>IF(VLOOKUP($B135,'Indicator Data (national)'!$B$5:$BB$14,46,FALSE)="No data","x",IF(VLOOKUP($B135,'Indicator Data (national)'!$B$5:$BB$14,46,FALSE)&gt;Y$150,10,IF(VLOOKUP($B135,'Indicator Data (national)'!$B$5:$BB$14,46,FALSE)&lt;Y$149,0,(Y$150-VLOOKUP($B135,'Indicator Data (national)'!$B$5:$BB$14,46,FALSE))/(Y$150-Y$149)*10)))</f>
        <v>9</v>
      </c>
      <c r="Z135" s="156">
        <f>IF(VLOOKUP($B135,'Indicator Data (national)'!$B$5:$BB$14,48,FALSE)="No data","x",VLOOKUP($B135,'Indicator Data (national)'!$B$5:$BB$14,47,FALSE)*VLOOKUP($B135,'Indicator Data (national)'!$B$5:$BB$14,48,FALSE))</f>
        <v>16.213609009461287</v>
      </c>
      <c r="AA135" s="2">
        <f t="shared" si="47"/>
        <v>8.3786390990538706</v>
      </c>
      <c r="AB135" s="3">
        <f t="shared" si="48"/>
        <v>8.3770804987890024</v>
      </c>
      <c r="AC135" s="2">
        <f>IF(VLOOKUP($B135,'Indicator Data (national)'!$B$5:$BB$14,49,FALSE)="No data","x",IF(VLOOKUP($B135,'Indicator Data (national)'!$B$5:$BB$14,49,FALSE)&gt;AC$150,0,IF(VLOOKUP($B135,'Indicator Data (national)'!$B$5:$BB$14,49,FALSE)&lt;AC$149,10,(AC$150-VLOOKUP($B135,'Indicator Data (national)'!$B$5:$BB$14,49,FALSE))/(AC$150-AC$149)*10)))</f>
        <v>9.76</v>
      </c>
      <c r="AD135" s="2">
        <f>IF(VLOOKUP($B135,'Indicator Data (national)'!$B$5:$BB$14,50,FALSE)="No data","x",IF(VLOOKUP($B135,'Indicator Data (national)'!$B$5:$BB$14,50,FALSE)&gt;AD$150,0,IF(VLOOKUP($B135,'Indicator Data (national)'!$B$5:$BB$14,50,FALSE)&lt;AD$149,10,(AD$150-VLOOKUP($B135,'Indicator Data (national)'!$B$5:$BB$14,50,FALSE))/(AD$150-AD$149)*10)))</f>
        <v>9.6199999999999992</v>
      </c>
      <c r="AE135" s="3">
        <f t="shared" si="49"/>
        <v>9.69</v>
      </c>
      <c r="AF135" s="2">
        <f>IF(VLOOKUP($B135,'Indicator Data (national)'!$B$5:$BB$14,51,FALSE)="No data","x",IF(VLOOKUP($B135,'Indicator Data (national)'!$B$5:$BB$14,51,FALSE)&gt;AF$150,0,IF(VLOOKUP($B135,'Indicator Data (national)'!$B$5:$BB$14,51,FALSE)&lt;AF$149,10,(AF$150-VLOOKUP($B135,'Indicator Data (national)'!$B$5:$BB$14,51,FALSE))/(AF$150-AF$149)*10)))</f>
        <v>9.2104222882958418</v>
      </c>
      <c r="AG135" s="2">
        <f>IF(VLOOKUP($B135,'Indicator Data (national)'!$B$5:$BB$14,52,FALSE)="No data","x",IF(VLOOKUP($B135,'Indicator Data (national)'!$B$5:$BB$14,52,FALSE)&gt;AG$150,0,IF(VLOOKUP($B135,'Indicator Data (national)'!$B$5:$BB$14,52,FALSE)&lt;AG$149,10,(AG$150-VLOOKUP($B135,'Indicator Data (national)'!$B$5:$BB$14,52,FALSE))/(AG$150-AG$149)*10)))</f>
        <v>1.0626279999999992</v>
      </c>
      <c r="AH135" s="2" t="str">
        <f>IF(VLOOKUP($B135,'Indicator Data (national)'!$B$5:$BB$14,53,FALSE)="No data","x",IF(VLOOKUP($B135,'Indicator Data (national)'!$B$5:$BB$14,53,FALSE)&gt;AH$150,0,IF(VLOOKUP($B135,'Indicator Data (national)'!$B$5:$BB$14,53,FALSE)&lt;AH$149,10,(AH$150-VLOOKUP($B135,'Indicator Data (national)'!$B$5:$BB$14,53,FALSE))/(AH$150-AH$149)*10)))</f>
        <v>x</v>
      </c>
      <c r="AI135" s="3">
        <f t="shared" si="50"/>
        <v>5.1365251441479209</v>
      </c>
      <c r="AJ135" s="5">
        <f t="shared" si="38"/>
        <v>7.7345352143123085</v>
      </c>
    </row>
    <row r="136" spans="1:36" s="11" customFormat="1" x14ac:dyDescent="0.25">
      <c r="A136" s="16" t="s">
        <v>554</v>
      </c>
      <c r="B136" s="11" t="s">
        <v>579</v>
      </c>
      <c r="C136" s="16" t="s">
        <v>555</v>
      </c>
      <c r="D136" s="120">
        <f>(VLOOKUP($B136,'Indicator Data (national)'!$B$5:$AP$14,39,FALSE)+VLOOKUP($B136,'Indicator Data (national)'!$B$5:$AP$14,40,FALSE)+VLOOKUP($B136,'Indicator Data (national)'!$B$5:$AP$14,41,FALSE))/VLOOKUP($B136,'Indicator Data (national)'!$B$5:$AP$14,38,FALSE)*1000000</f>
        <v>0.18517393680263772</v>
      </c>
      <c r="E136" s="2">
        <f t="shared" si="39"/>
        <v>9.0741303159868121</v>
      </c>
      <c r="F136" s="3">
        <f t="shared" si="40"/>
        <v>9.0741303159868121</v>
      </c>
      <c r="G136" s="2">
        <f>IF(VLOOKUP($B136,'Indicator Data (national)'!$B$5:$AQ$14,30,FALSE)="No data","x",IF(VLOOKUP($B136,'Indicator Data (national)'!$B$5:$AQ$14,30,FALSE)&gt;G$150,10,IF(VLOOKUP($B136,'Indicator Data (national)'!$B$5:$AQ$14,30,FALSE)&lt;G$149,0,(G$150-VLOOKUP($B136,'Indicator Data (national)'!$B$5:$AQ$14,30,FALSE))/(G$150-G$149)*10)))</f>
        <v>8.9</v>
      </c>
      <c r="H136" s="2">
        <f>IF(VLOOKUP($B136,'Indicator Data (national)'!$B$5:$AQ$14,29,FALSE)="No data","x",IF(VLOOKUP($B136,'Indicator Data (national)'!$B$5:$AQ$14,29,FALSE)&gt;H$150,10,IF(VLOOKUP($B136,'Indicator Data (national)'!$B$5:$AQ$14,29,FALSE)&lt;H$149,0,(H$150-VLOOKUP($B136,'Indicator Data (national)'!$B$5:$AQ$14,29,FALSE))/(H$150-H$149)*10)))</f>
        <v>8.0628023147583008</v>
      </c>
      <c r="I136" s="3">
        <f t="shared" si="41"/>
        <v>8.4814011573791497</v>
      </c>
      <c r="J136" s="5">
        <f t="shared" si="42"/>
        <v>8.77776573668298</v>
      </c>
      <c r="K136" s="2">
        <f>IF(VLOOKUP($B136,'Indicator Data (national)'!$B$5:$AQ$14,33,FALSE)="No data","x",IF(VLOOKUP($B136,'Indicator Data (national)'!$B$5:$AQ$14,33,FALSE)&gt;K$150,10,IF(VLOOKUP($B136,'Indicator Data (national)'!$B$5:$AQ$14,33,FALSE)&lt;K$149,0,(K$150-VLOOKUP($B136,'Indicator Data (national)'!$B$5:$AQ$14,33,FALSE))/(K$150-K$149)*10)))</f>
        <v>5.4600000000000009</v>
      </c>
      <c r="L136" s="2">
        <f>IF(VLOOKUP($B136,'Indicator Data (national)'!$B$5:$AQ$14,34,FALSE)="No data","x",IF(VLOOKUP($B136,'Indicator Data (national)'!$B$5:$AQ$14,34,FALSE)&gt;L$150,10,IF(VLOOKUP($B136,'Indicator Data (national)'!$B$5:$AQ$14,34,FALSE)&lt;L$149,0,(L$150-VLOOKUP($B136,'Indicator Data (national)'!$B$5:$AQ$14,34,FALSE))/(L$150-L$149)*10)))</f>
        <v>2.7147687093239599</v>
      </c>
      <c r="M136" s="3">
        <f t="shared" si="43"/>
        <v>4.0873843546619799</v>
      </c>
      <c r="N136" s="2">
        <f>IF(VLOOKUP($B136,'Indicator Data (national)'!$B$5:$AS$14,44,FALSE)="No data","x",IF(VLOOKUP($B136,'Indicator Data (national)'!$B$5:$AS$14,44,FALSE)&gt;N$150,10,IF(VLOOKUP($B136,'Indicator Data (national)'!$B$5:$AS$14,44,FALSE)&lt;N$149,0,10-(N$150-VLOOKUP($B136,'Indicator Data (national)'!$B$5:$AS$14,44,FALSE))/(N$150-N$149)*10)))</f>
        <v>3.4444444444444446</v>
      </c>
      <c r="O136" s="2">
        <f>IF(VLOOKUP($B136,'Indicator Data (national)'!$B$5:$AS$14,42,FALSE)="No data","x",IF(VLOOKUP($B136,'Indicator Data (national)'!$B$5:$AS$14,42,FALSE)&gt;O$150,0,IF(VLOOKUP($B136,'Indicator Data (national)'!$B$5:$AS$14,42,FALSE)&lt;O$149,10,(O$150-VLOOKUP($B136,'Indicator Data (national)'!$B$5:$AS$14,42,FALSE))/(O$150-O$149)*10)))</f>
        <v>10</v>
      </c>
      <c r="P136" s="158">
        <f t="shared" si="44"/>
        <v>6.7222222222222223</v>
      </c>
      <c r="Q136" s="2">
        <f>IF(VLOOKUP($B136,'Indicator Data (national)'!$B$5:$Q$14,16,FALSE)="No data","x",IF(VLOOKUP($B136,'Indicator Data (national)'!$B$5:$Q$14,16,FALSE)&gt;Q$150,0,IF(VLOOKUP($B136,'Indicator Data (national)'!$B$5:$Q$14,16,FALSE)&lt;Q$149,10,(Q$150-VLOOKUP($B136,'Indicator Data (national)'!$B$5:$Q$14,16,FALSE))/(Q$150-Q$149)*10)))</f>
        <v>7.1999999999999993</v>
      </c>
      <c r="R136" s="158">
        <f t="shared" si="45"/>
        <v>7.1999999999999993</v>
      </c>
      <c r="S136" s="3">
        <f t="shared" si="36"/>
        <v>6.9611111111111104</v>
      </c>
      <c r="T136" s="2">
        <f>IF(VLOOKUP($B136,'Indicator Data (national)'!$B$5:$BC$14,43,FALSE)="No data","x",IF(VLOOKUP($B136,'Indicator Data (national)'!$B$5:$BC$14,43,FALSE)&gt;T$150,10,IF(VLOOKUP($B136,'Indicator Data (national)'!$B$5:$BC$14,43,FALSE)&lt;T$149,0,(T$150-VLOOKUP($B136,'Indicator Data (national)'!$B$5:$BC$14,43,FALSE))/(T$150-T$149)*10)))</f>
        <v>7.313265781810947</v>
      </c>
      <c r="U136" s="3">
        <f t="shared" si="46"/>
        <v>7.313265781810947</v>
      </c>
      <c r="V136" s="5">
        <f t="shared" si="37"/>
        <v>6.1205870825280124</v>
      </c>
      <c r="W136" s="2">
        <f>IF(VLOOKUP($B136,'Indicator Data (national)'!$B$5:$AS$14,37,FALSE)="No data","x",IF(VLOOKUP($B136,'Indicator Data (national)'!$B$5:$AS$14,37,FALSE)&gt;W$150,10,IF(VLOOKUP($B136,'Indicator Data (national)'!$B$5:$AS$14,37,FALSE)&lt;W$149,0,(LOG(W$150)-LOG(VLOOKUP($B136,'Indicator Data (national)'!$B$5:$AS$14,37,FALSE)))/(LOG(W$150)-LOG(W$149))*10)))</f>
        <v>6.7963495627688042</v>
      </c>
      <c r="X136" s="2">
        <f>IF(VLOOKUP($B136,'Indicator Data (national)'!$B$5:$BB$14,45,FALSE)="No data","x",IF(VLOOKUP($B136,'Indicator Data (national)'!$B$5:$BB$14,45,FALSE)&gt;X$150,10,IF(VLOOKUP($B136,'Indicator Data (national)'!$B$5:$BB$14,45,FALSE)&lt;X$149,0,10-(X$150-VLOOKUP($B136,'Indicator Data (national)'!$B$5:$BB$14,45,FALSE))/(X$150-X$149)*10)))</f>
        <v>9.3333333333333339</v>
      </c>
      <c r="Y136" s="2">
        <f>IF(VLOOKUP($B136,'Indicator Data (national)'!$B$5:$BB$14,46,FALSE)="No data","x",IF(VLOOKUP($B136,'Indicator Data (national)'!$B$5:$BB$14,46,FALSE)&gt;Y$150,10,IF(VLOOKUP($B136,'Indicator Data (national)'!$B$5:$BB$14,46,FALSE)&lt;Y$149,0,(Y$150-VLOOKUP($B136,'Indicator Data (national)'!$B$5:$BB$14,46,FALSE))/(Y$150-Y$149)*10)))</f>
        <v>9</v>
      </c>
      <c r="Z136" s="156">
        <f>IF(VLOOKUP($B136,'Indicator Data (national)'!$B$5:$BB$14,48,FALSE)="No data","x",VLOOKUP($B136,'Indicator Data (national)'!$B$5:$BB$14,47,FALSE)*VLOOKUP($B136,'Indicator Data (national)'!$B$5:$BB$14,48,FALSE))</f>
        <v>16.213609009461287</v>
      </c>
      <c r="AA136" s="2">
        <f t="shared" si="47"/>
        <v>8.3786390990538706</v>
      </c>
      <c r="AB136" s="3">
        <f t="shared" si="48"/>
        <v>8.3770804987890024</v>
      </c>
      <c r="AC136" s="2">
        <f>IF(VLOOKUP($B136,'Indicator Data (national)'!$B$5:$BB$14,49,FALSE)="No data","x",IF(VLOOKUP($B136,'Indicator Data (national)'!$B$5:$BB$14,49,FALSE)&gt;AC$150,0,IF(VLOOKUP($B136,'Indicator Data (national)'!$B$5:$BB$14,49,FALSE)&lt;AC$149,10,(AC$150-VLOOKUP($B136,'Indicator Data (national)'!$B$5:$BB$14,49,FALSE))/(AC$150-AC$149)*10)))</f>
        <v>9.76</v>
      </c>
      <c r="AD136" s="2">
        <f>IF(VLOOKUP($B136,'Indicator Data (national)'!$B$5:$BB$14,50,FALSE)="No data","x",IF(VLOOKUP($B136,'Indicator Data (national)'!$B$5:$BB$14,50,FALSE)&gt;AD$150,0,IF(VLOOKUP($B136,'Indicator Data (national)'!$B$5:$BB$14,50,FALSE)&lt;AD$149,10,(AD$150-VLOOKUP($B136,'Indicator Data (national)'!$B$5:$BB$14,50,FALSE))/(AD$150-AD$149)*10)))</f>
        <v>9.6199999999999992</v>
      </c>
      <c r="AE136" s="3">
        <f t="shared" si="49"/>
        <v>9.69</v>
      </c>
      <c r="AF136" s="2">
        <f>IF(VLOOKUP($B136,'Indicator Data (national)'!$B$5:$BB$14,51,FALSE)="No data","x",IF(VLOOKUP($B136,'Indicator Data (national)'!$B$5:$BB$14,51,FALSE)&gt;AF$150,0,IF(VLOOKUP($B136,'Indicator Data (national)'!$B$5:$BB$14,51,FALSE)&lt;AF$149,10,(AF$150-VLOOKUP($B136,'Indicator Data (national)'!$B$5:$BB$14,51,FALSE))/(AF$150-AF$149)*10)))</f>
        <v>9.2104222882958418</v>
      </c>
      <c r="AG136" s="2">
        <f>IF(VLOOKUP($B136,'Indicator Data (national)'!$B$5:$BB$14,52,FALSE)="No data","x",IF(VLOOKUP($B136,'Indicator Data (national)'!$B$5:$BB$14,52,FALSE)&gt;AG$150,0,IF(VLOOKUP($B136,'Indicator Data (national)'!$B$5:$BB$14,52,FALSE)&lt;AG$149,10,(AG$150-VLOOKUP($B136,'Indicator Data (national)'!$B$5:$BB$14,52,FALSE))/(AG$150-AG$149)*10)))</f>
        <v>1.0626279999999992</v>
      </c>
      <c r="AH136" s="2" t="str">
        <f>IF(VLOOKUP($B136,'Indicator Data (national)'!$B$5:$BB$14,53,FALSE)="No data","x",IF(VLOOKUP($B136,'Indicator Data (national)'!$B$5:$BB$14,53,FALSE)&gt;AH$150,0,IF(VLOOKUP($B136,'Indicator Data (national)'!$B$5:$BB$14,53,FALSE)&lt;AH$149,10,(AH$150-VLOOKUP($B136,'Indicator Data (national)'!$B$5:$BB$14,53,FALSE))/(AH$150-AH$149)*10)))</f>
        <v>x</v>
      </c>
      <c r="AI136" s="3">
        <f t="shared" si="50"/>
        <v>5.1365251441479209</v>
      </c>
      <c r="AJ136" s="5">
        <f t="shared" si="38"/>
        <v>7.7345352143123085</v>
      </c>
    </row>
    <row r="137" spans="1:36" x14ac:dyDescent="0.25">
      <c r="A137" s="16" t="s">
        <v>556</v>
      </c>
      <c r="B137" s="11" t="s">
        <v>579</v>
      </c>
      <c r="C137" s="16" t="s">
        <v>557</v>
      </c>
      <c r="D137" s="120">
        <f>(VLOOKUP($B137,'Indicator Data (national)'!$B$5:$AP$14,39,FALSE)+VLOOKUP($B137,'Indicator Data (national)'!$B$5:$AP$14,40,FALSE)+VLOOKUP($B137,'Indicator Data (national)'!$B$5:$AP$14,41,FALSE))/VLOOKUP($B137,'Indicator Data (national)'!$B$5:$AP$14,38,FALSE)*1000000</f>
        <v>0.18517393680263772</v>
      </c>
      <c r="E137" s="2">
        <f t="shared" si="39"/>
        <v>9.0741303159868121</v>
      </c>
      <c r="F137" s="3">
        <f t="shared" si="40"/>
        <v>9.0741303159868121</v>
      </c>
      <c r="G137" s="2">
        <f>IF(VLOOKUP($B137,'Indicator Data (national)'!$B$5:$AQ$14,30,FALSE)="No data","x",IF(VLOOKUP($B137,'Indicator Data (national)'!$B$5:$AQ$14,30,FALSE)&gt;G$150,10,IF(VLOOKUP($B137,'Indicator Data (national)'!$B$5:$AQ$14,30,FALSE)&lt;G$149,0,(G$150-VLOOKUP($B137,'Indicator Data (national)'!$B$5:$AQ$14,30,FALSE))/(G$150-G$149)*10)))</f>
        <v>8.9</v>
      </c>
      <c r="H137" s="2">
        <f>IF(VLOOKUP($B137,'Indicator Data (national)'!$B$5:$AQ$14,29,FALSE)="No data","x",IF(VLOOKUP($B137,'Indicator Data (national)'!$B$5:$AQ$14,29,FALSE)&gt;H$150,10,IF(VLOOKUP($B137,'Indicator Data (national)'!$B$5:$AQ$14,29,FALSE)&lt;H$149,0,(H$150-VLOOKUP($B137,'Indicator Data (national)'!$B$5:$AQ$14,29,FALSE))/(H$150-H$149)*10)))</f>
        <v>8.0628023147583008</v>
      </c>
      <c r="I137" s="3">
        <f t="shared" si="41"/>
        <v>8.4814011573791497</v>
      </c>
      <c r="J137" s="5">
        <f t="shared" si="42"/>
        <v>8.77776573668298</v>
      </c>
      <c r="K137" s="2">
        <f>IF(VLOOKUP($B137,'Indicator Data (national)'!$B$5:$AQ$14,33,FALSE)="No data","x",IF(VLOOKUP($B137,'Indicator Data (national)'!$B$5:$AQ$14,33,FALSE)&gt;K$150,10,IF(VLOOKUP($B137,'Indicator Data (national)'!$B$5:$AQ$14,33,FALSE)&lt;K$149,0,(K$150-VLOOKUP($B137,'Indicator Data (national)'!$B$5:$AQ$14,33,FALSE))/(K$150-K$149)*10)))</f>
        <v>5.4600000000000009</v>
      </c>
      <c r="L137" s="2">
        <f>IF(VLOOKUP($B137,'Indicator Data (national)'!$B$5:$AQ$14,34,FALSE)="No data","x",IF(VLOOKUP($B137,'Indicator Data (national)'!$B$5:$AQ$14,34,FALSE)&gt;L$150,10,IF(VLOOKUP($B137,'Indicator Data (national)'!$B$5:$AQ$14,34,FALSE)&lt;L$149,0,(L$150-VLOOKUP($B137,'Indicator Data (national)'!$B$5:$AQ$14,34,FALSE))/(L$150-L$149)*10)))</f>
        <v>2.7147687093239599</v>
      </c>
      <c r="M137" s="3">
        <f t="shared" si="43"/>
        <v>4.0873843546619799</v>
      </c>
      <c r="N137" s="2">
        <f>IF(VLOOKUP($B137,'Indicator Data (national)'!$B$5:$AS$14,44,FALSE)="No data","x",IF(VLOOKUP($B137,'Indicator Data (national)'!$B$5:$AS$14,44,FALSE)&gt;N$150,10,IF(VLOOKUP($B137,'Indicator Data (national)'!$B$5:$AS$14,44,FALSE)&lt;N$149,0,10-(N$150-VLOOKUP($B137,'Indicator Data (national)'!$B$5:$AS$14,44,FALSE))/(N$150-N$149)*10)))</f>
        <v>3.4444444444444446</v>
      </c>
      <c r="O137" s="2">
        <f>IF(VLOOKUP($B137,'Indicator Data (national)'!$B$5:$AS$14,42,FALSE)="No data","x",IF(VLOOKUP($B137,'Indicator Data (national)'!$B$5:$AS$14,42,FALSE)&gt;O$150,0,IF(VLOOKUP($B137,'Indicator Data (national)'!$B$5:$AS$14,42,FALSE)&lt;O$149,10,(O$150-VLOOKUP($B137,'Indicator Data (national)'!$B$5:$AS$14,42,FALSE))/(O$150-O$149)*10)))</f>
        <v>10</v>
      </c>
      <c r="P137" s="158">
        <f t="shared" si="44"/>
        <v>6.7222222222222223</v>
      </c>
      <c r="Q137" s="2">
        <f>IF(VLOOKUP($B137,'Indicator Data (national)'!$B$5:$Q$14,16,FALSE)="No data","x",IF(VLOOKUP($B137,'Indicator Data (national)'!$B$5:$Q$14,16,FALSE)&gt;Q$150,0,IF(VLOOKUP($B137,'Indicator Data (national)'!$B$5:$Q$14,16,FALSE)&lt;Q$149,10,(Q$150-VLOOKUP($B137,'Indicator Data (national)'!$B$5:$Q$14,16,FALSE))/(Q$150-Q$149)*10)))</f>
        <v>7.1999999999999993</v>
      </c>
      <c r="R137" s="158">
        <f t="shared" si="45"/>
        <v>7.1999999999999993</v>
      </c>
      <c r="S137" s="3">
        <f t="shared" si="36"/>
        <v>6.9611111111111104</v>
      </c>
      <c r="T137" s="2">
        <f>IF(VLOOKUP($B137,'Indicator Data (national)'!$B$5:$BC$14,43,FALSE)="No data","x",IF(VLOOKUP($B137,'Indicator Data (national)'!$B$5:$BC$14,43,FALSE)&gt;T$150,10,IF(VLOOKUP($B137,'Indicator Data (national)'!$B$5:$BC$14,43,FALSE)&lt;T$149,0,(T$150-VLOOKUP($B137,'Indicator Data (national)'!$B$5:$BC$14,43,FALSE))/(T$150-T$149)*10)))</f>
        <v>7.313265781810947</v>
      </c>
      <c r="U137" s="3">
        <f t="shared" si="46"/>
        <v>7.313265781810947</v>
      </c>
      <c r="V137" s="5">
        <f t="shared" si="37"/>
        <v>6.1205870825280124</v>
      </c>
      <c r="W137" s="2">
        <f>IF(VLOOKUP($B137,'Indicator Data (national)'!$B$5:$AS$14,37,FALSE)="No data","x",IF(VLOOKUP($B137,'Indicator Data (national)'!$B$5:$AS$14,37,FALSE)&gt;W$150,10,IF(VLOOKUP($B137,'Indicator Data (national)'!$B$5:$AS$14,37,FALSE)&lt;W$149,0,(LOG(W$150)-LOG(VLOOKUP($B137,'Indicator Data (national)'!$B$5:$AS$14,37,FALSE)))/(LOG(W$150)-LOG(W$149))*10)))</f>
        <v>6.7963495627688042</v>
      </c>
      <c r="X137" s="2">
        <f>IF(VLOOKUP($B137,'Indicator Data (national)'!$B$5:$BB$14,45,FALSE)="No data","x",IF(VLOOKUP($B137,'Indicator Data (national)'!$B$5:$BB$14,45,FALSE)&gt;X$150,10,IF(VLOOKUP($B137,'Indicator Data (national)'!$B$5:$BB$14,45,FALSE)&lt;X$149,0,10-(X$150-VLOOKUP($B137,'Indicator Data (national)'!$B$5:$BB$14,45,FALSE))/(X$150-X$149)*10)))</f>
        <v>9.3333333333333339</v>
      </c>
      <c r="Y137" s="2">
        <f>IF(VLOOKUP($B137,'Indicator Data (national)'!$B$5:$BB$14,46,FALSE)="No data","x",IF(VLOOKUP($B137,'Indicator Data (national)'!$B$5:$BB$14,46,FALSE)&gt;Y$150,10,IF(VLOOKUP($B137,'Indicator Data (national)'!$B$5:$BB$14,46,FALSE)&lt;Y$149,0,(Y$150-VLOOKUP($B137,'Indicator Data (national)'!$B$5:$BB$14,46,FALSE))/(Y$150-Y$149)*10)))</f>
        <v>9</v>
      </c>
      <c r="Z137" s="156">
        <f>IF(VLOOKUP($B137,'Indicator Data (national)'!$B$5:$BB$14,48,FALSE)="No data","x",VLOOKUP($B137,'Indicator Data (national)'!$B$5:$BB$14,47,FALSE)*VLOOKUP($B137,'Indicator Data (national)'!$B$5:$BB$14,48,FALSE))</f>
        <v>16.213609009461287</v>
      </c>
      <c r="AA137" s="2">
        <f t="shared" si="47"/>
        <v>8.3786390990538706</v>
      </c>
      <c r="AB137" s="3">
        <f t="shared" si="48"/>
        <v>8.3770804987890024</v>
      </c>
      <c r="AC137" s="2">
        <f>IF(VLOOKUP($B137,'Indicator Data (national)'!$B$5:$BB$14,49,FALSE)="No data","x",IF(VLOOKUP($B137,'Indicator Data (national)'!$B$5:$BB$14,49,FALSE)&gt;AC$150,0,IF(VLOOKUP($B137,'Indicator Data (national)'!$B$5:$BB$14,49,FALSE)&lt;AC$149,10,(AC$150-VLOOKUP($B137,'Indicator Data (national)'!$B$5:$BB$14,49,FALSE))/(AC$150-AC$149)*10)))</f>
        <v>9.76</v>
      </c>
      <c r="AD137" s="2">
        <f>IF(VLOOKUP($B137,'Indicator Data (national)'!$B$5:$BB$14,50,FALSE)="No data","x",IF(VLOOKUP($B137,'Indicator Data (national)'!$B$5:$BB$14,50,FALSE)&gt;AD$150,0,IF(VLOOKUP($B137,'Indicator Data (national)'!$B$5:$BB$14,50,FALSE)&lt;AD$149,10,(AD$150-VLOOKUP($B137,'Indicator Data (national)'!$B$5:$BB$14,50,FALSE))/(AD$150-AD$149)*10)))</f>
        <v>9.6199999999999992</v>
      </c>
      <c r="AE137" s="3">
        <f t="shared" si="49"/>
        <v>9.69</v>
      </c>
      <c r="AF137" s="2">
        <f>IF(VLOOKUP($B137,'Indicator Data (national)'!$B$5:$BB$14,51,FALSE)="No data","x",IF(VLOOKUP($B137,'Indicator Data (national)'!$B$5:$BB$14,51,FALSE)&gt;AF$150,0,IF(VLOOKUP($B137,'Indicator Data (national)'!$B$5:$BB$14,51,FALSE)&lt;AF$149,10,(AF$150-VLOOKUP($B137,'Indicator Data (national)'!$B$5:$BB$14,51,FALSE))/(AF$150-AF$149)*10)))</f>
        <v>9.2104222882958418</v>
      </c>
      <c r="AG137" s="2">
        <f>IF(VLOOKUP($B137,'Indicator Data (national)'!$B$5:$BB$14,52,FALSE)="No data","x",IF(VLOOKUP($B137,'Indicator Data (national)'!$B$5:$BB$14,52,FALSE)&gt;AG$150,0,IF(VLOOKUP($B137,'Indicator Data (national)'!$B$5:$BB$14,52,FALSE)&lt;AG$149,10,(AG$150-VLOOKUP($B137,'Indicator Data (national)'!$B$5:$BB$14,52,FALSE))/(AG$150-AG$149)*10)))</f>
        <v>1.0626279999999992</v>
      </c>
      <c r="AH137" s="2" t="str">
        <f>IF(VLOOKUP($B137,'Indicator Data (national)'!$B$5:$BB$14,53,FALSE)="No data","x",IF(VLOOKUP($B137,'Indicator Data (national)'!$B$5:$BB$14,53,FALSE)&gt;AH$150,0,IF(VLOOKUP($B137,'Indicator Data (national)'!$B$5:$BB$14,53,FALSE)&lt;AH$149,10,(AH$150-VLOOKUP($B137,'Indicator Data (national)'!$B$5:$BB$14,53,FALSE))/(AH$150-AH$149)*10)))</f>
        <v>x</v>
      </c>
      <c r="AI137" s="3">
        <f t="shared" si="50"/>
        <v>5.1365251441479209</v>
      </c>
      <c r="AJ137" s="5">
        <f t="shared" si="38"/>
        <v>7.7345352143123085</v>
      </c>
    </row>
    <row r="138" spans="1:36" x14ac:dyDescent="0.25">
      <c r="A138" s="16" t="s">
        <v>558</v>
      </c>
      <c r="B138" s="11" t="s">
        <v>579</v>
      </c>
      <c r="C138" s="16" t="s">
        <v>559</v>
      </c>
      <c r="D138" s="120">
        <f>(VLOOKUP($B138,'Indicator Data (national)'!$B$5:$AP$14,39,FALSE)+VLOOKUP($B138,'Indicator Data (national)'!$B$5:$AP$14,40,FALSE)+VLOOKUP($B138,'Indicator Data (national)'!$B$5:$AP$14,41,FALSE))/VLOOKUP($B138,'Indicator Data (national)'!$B$5:$AP$14,38,FALSE)*1000000</f>
        <v>0.18517393680263772</v>
      </c>
      <c r="E138" s="2">
        <f t="shared" si="39"/>
        <v>9.0741303159868121</v>
      </c>
      <c r="F138" s="3">
        <f t="shared" si="40"/>
        <v>9.0741303159868121</v>
      </c>
      <c r="G138" s="2">
        <f>IF(VLOOKUP($B138,'Indicator Data (national)'!$B$5:$AQ$14,30,FALSE)="No data","x",IF(VLOOKUP($B138,'Indicator Data (national)'!$B$5:$AQ$14,30,FALSE)&gt;G$150,10,IF(VLOOKUP($B138,'Indicator Data (national)'!$B$5:$AQ$14,30,FALSE)&lt;G$149,0,(G$150-VLOOKUP($B138,'Indicator Data (national)'!$B$5:$AQ$14,30,FALSE))/(G$150-G$149)*10)))</f>
        <v>8.9</v>
      </c>
      <c r="H138" s="2">
        <f>IF(VLOOKUP($B138,'Indicator Data (national)'!$B$5:$AQ$14,29,FALSE)="No data","x",IF(VLOOKUP($B138,'Indicator Data (national)'!$B$5:$AQ$14,29,FALSE)&gt;H$150,10,IF(VLOOKUP($B138,'Indicator Data (national)'!$B$5:$AQ$14,29,FALSE)&lt;H$149,0,(H$150-VLOOKUP($B138,'Indicator Data (national)'!$B$5:$AQ$14,29,FALSE))/(H$150-H$149)*10)))</f>
        <v>8.0628023147583008</v>
      </c>
      <c r="I138" s="3">
        <f t="shared" si="41"/>
        <v>8.4814011573791497</v>
      </c>
      <c r="J138" s="5">
        <f t="shared" si="42"/>
        <v>8.77776573668298</v>
      </c>
      <c r="K138" s="2">
        <f>IF(VLOOKUP($B138,'Indicator Data (national)'!$B$5:$AQ$14,33,FALSE)="No data","x",IF(VLOOKUP($B138,'Indicator Data (national)'!$B$5:$AQ$14,33,FALSE)&gt;K$150,10,IF(VLOOKUP($B138,'Indicator Data (national)'!$B$5:$AQ$14,33,FALSE)&lt;K$149,0,(K$150-VLOOKUP($B138,'Indicator Data (national)'!$B$5:$AQ$14,33,FALSE))/(K$150-K$149)*10)))</f>
        <v>5.4600000000000009</v>
      </c>
      <c r="L138" s="2">
        <f>IF(VLOOKUP($B138,'Indicator Data (national)'!$B$5:$AQ$14,34,FALSE)="No data","x",IF(VLOOKUP($B138,'Indicator Data (national)'!$B$5:$AQ$14,34,FALSE)&gt;L$150,10,IF(VLOOKUP($B138,'Indicator Data (national)'!$B$5:$AQ$14,34,FALSE)&lt;L$149,0,(L$150-VLOOKUP($B138,'Indicator Data (national)'!$B$5:$AQ$14,34,FALSE))/(L$150-L$149)*10)))</f>
        <v>2.7147687093239599</v>
      </c>
      <c r="M138" s="3">
        <f t="shared" si="43"/>
        <v>4.0873843546619799</v>
      </c>
      <c r="N138" s="2">
        <f>IF(VLOOKUP($B138,'Indicator Data (national)'!$B$5:$AS$14,44,FALSE)="No data","x",IF(VLOOKUP($B138,'Indicator Data (national)'!$B$5:$AS$14,44,FALSE)&gt;N$150,10,IF(VLOOKUP($B138,'Indicator Data (national)'!$B$5:$AS$14,44,FALSE)&lt;N$149,0,10-(N$150-VLOOKUP($B138,'Indicator Data (national)'!$B$5:$AS$14,44,FALSE))/(N$150-N$149)*10)))</f>
        <v>3.4444444444444446</v>
      </c>
      <c r="O138" s="2">
        <f>IF(VLOOKUP($B138,'Indicator Data (national)'!$B$5:$AS$14,42,FALSE)="No data","x",IF(VLOOKUP($B138,'Indicator Data (national)'!$B$5:$AS$14,42,FALSE)&gt;O$150,0,IF(VLOOKUP($B138,'Indicator Data (national)'!$B$5:$AS$14,42,FALSE)&lt;O$149,10,(O$150-VLOOKUP($B138,'Indicator Data (national)'!$B$5:$AS$14,42,FALSE))/(O$150-O$149)*10)))</f>
        <v>10</v>
      </c>
      <c r="P138" s="158">
        <f t="shared" si="44"/>
        <v>6.7222222222222223</v>
      </c>
      <c r="Q138" s="2">
        <f>IF(VLOOKUP($B138,'Indicator Data (national)'!$B$5:$Q$14,16,FALSE)="No data","x",IF(VLOOKUP($B138,'Indicator Data (national)'!$B$5:$Q$14,16,FALSE)&gt;Q$150,0,IF(VLOOKUP($B138,'Indicator Data (national)'!$B$5:$Q$14,16,FALSE)&lt;Q$149,10,(Q$150-VLOOKUP($B138,'Indicator Data (national)'!$B$5:$Q$14,16,FALSE))/(Q$150-Q$149)*10)))</f>
        <v>7.1999999999999993</v>
      </c>
      <c r="R138" s="158">
        <f t="shared" si="45"/>
        <v>7.1999999999999993</v>
      </c>
      <c r="S138" s="3">
        <f t="shared" si="36"/>
        <v>6.9611111111111104</v>
      </c>
      <c r="T138" s="2">
        <f>IF(VLOOKUP($B138,'Indicator Data (national)'!$B$5:$BC$14,43,FALSE)="No data","x",IF(VLOOKUP($B138,'Indicator Data (national)'!$B$5:$BC$14,43,FALSE)&gt;T$150,10,IF(VLOOKUP($B138,'Indicator Data (national)'!$B$5:$BC$14,43,FALSE)&lt;T$149,0,(T$150-VLOOKUP($B138,'Indicator Data (national)'!$B$5:$BC$14,43,FALSE))/(T$150-T$149)*10)))</f>
        <v>7.313265781810947</v>
      </c>
      <c r="U138" s="3">
        <f t="shared" si="46"/>
        <v>7.313265781810947</v>
      </c>
      <c r="V138" s="5">
        <f t="shared" si="37"/>
        <v>6.1205870825280124</v>
      </c>
      <c r="W138" s="2">
        <f>IF(VLOOKUP($B138,'Indicator Data (national)'!$B$5:$AS$14,37,FALSE)="No data","x",IF(VLOOKUP($B138,'Indicator Data (national)'!$B$5:$AS$14,37,FALSE)&gt;W$150,10,IF(VLOOKUP($B138,'Indicator Data (national)'!$B$5:$AS$14,37,FALSE)&lt;W$149,0,(LOG(W$150)-LOG(VLOOKUP($B138,'Indicator Data (national)'!$B$5:$AS$14,37,FALSE)))/(LOG(W$150)-LOG(W$149))*10)))</f>
        <v>6.7963495627688042</v>
      </c>
      <c r="X138" s="2">
        <f>IF(VLOOKUP($B138,'Indicator Data (national)'!$B$5:$BB$14,45,FALSE)="No data","x",IF(VLOOKUP($B138,'Indicator Data (national)'!$B$5:$BB$14,45,FALSE)&gt;X$150,10,IF(VLOOKUP($B138,'Indicator Data (national)'!$B$5:$BB$14,45,FALSE)&lt;X$149,0,10-(X$150-VLOOKUP($B138,'Indicator Data (national)'!$B$5:$BB$14,45,FALSE))/(X$150-X$149)*10)))</f>
        <v>9.3333333333333339</v>
      </c>
      <c r="Y138" s="2">
        <f>IF(VLOOKUP($B138,'Indicator Data (national)'!$B$5:$BB$14,46,FALSE)="No data","x",IF(VLOOKUP($B138,'Indicator Data (national)'!$B$5:$BB$14,46,FALSE)&gt;Y$150,10,IF(VLOOKUP($B138,'Indicator Data (national)'!$B$5:$BB$14,46,FALSE)&lt;Y$149,0,(Y$150-VLOOKUP($B138,'Indicator Data (national)'!$B$5:$BB$14,46,FALSE))/(Y$150-Y$149)*10)))</f>
        <v>9</v>
      </c>
      <c r="Z138" s="156">
        <f>IF(VLOOKUP($B138,'Indicator Data (national)'!$B$5:$BB$14,48,FALSE)="No data","x",VLOOKUP($B138,'Indicator Data (national)'!$B$5:$BB$14,47,FALSE)*VLOOKUP($B138,'Indicator Data (national)'!$B$5:$BB$14,48,FALSE))</f>
        <v>16.213609009461287</v>
      </c>
      <c r="AA138" s="2">
        <f t="shared" si="47"/>
        <v>8.3786390990538706</v>
      </c>
      <c r="AB138" s="3">
        <f t="shared" si="48"/>
        <v>8.3770804987890024</v>
      </c>
      <c r="AC138" s="2">
        <f>IF(VLOOKUP($B138,'Indicator Data (national)'!$B$5:$BB$14,49,FALSE)="No data","x",IF(VLOOKUP($B138,'Indicator Data (national)'!$B$5:$BB$14,49,FALSE)&gt;AC$150,0,IF(VLOOKUP($B138,'Indicator Data (national)'!$B$5:$BB$14,49,FALSE)&lt;AC$149,10,(AC$150-VLOOKUP($B138,'Indicator Data (national)'!$B$5:$BB$14,49,FALSE))/(AC$150-AC$149)*10)))</f>
        <v>9.76</v>
      </c>
      <c r="AD138" s="2">
        <f>IF(VLOOKUP($B138,'Indicator Data (national)'!$B$5:$BB$14,50,FALSE)="No data","x",IF(VLOOKUP($B138,'Indicator Data (national)'!$B$5:$BB$14,50,FALSE)&gt;AD$150,0,IF(VLOOKUP($B138,'Indicator Data (national)'!$B$5:$BB$14,50,FALSE)&lt;AD$149,10,(AD$150-VLOOKUP($B138,'Indicator Data (national)'!$B$5:$BB$14,50,FALSE))/(AD$150-AD$149)*10)))</f>
        <v>9.6199999999999992</v>
      </c>
      <c r="AE138" s="3">
        <f t="shared" si="49"/>
        <v>9.69</v>
      </c>
      <c r="AF138" s="2">
        <f>IF(VLOOKUP($B138,'Indicator Data (national)'!$B$5:$BB$14,51,FALSE)="No data","x",IF(VLOOKUP($B138,'Indicator Data (national)'!$B$5:$BB$14,51,FALSE)&gt;AF$150,0,IF(VLOOKUP($B138,'Indicator Data (national)'!$B$5:$BB$14,51,FALSE)&lt;AF$149,10,(AF$150-VLOOKUP($B138,'Indicator Data (national)'!$B$5:$BB$14,51,FALSE))/(AF$150-AF$149)*10)))</f>
        <v>9.2104222882958418</v>
      </c>
      <c r="AG138" s="2">
        <f>IF(VLOOKUP($B138,'Indicator Data (national)'!$B$5:$BB$14,52,FALSE)="No data","x",IF(VLOOKUP($B138,'Indicator Data (national)'!$B$5:$BB$14,52,FALSE)&gt;AG$150,0,IF(VLOOKUP($B138,'Indicator Data (national)'!$B$5:$BB$14,52,FALSE)&lt;AG$149,10,(AG$150-VLOOKUP($B138,'Indicator Data (national)'!$B$5:$BB$14,52,FALSE))/(AG$150-AG$149)*10)))</f>
        <v>1.0626279999999992</v>
      </c>
      <c r="AH138" s="2" t="str">
        <f>IF(VLOOKUP($B138,'Indicator Data (national)'!$B$5:$BB$14,53,FALSE)="No data","x",IF(VLOOKUP($B138,'Indicator Data (national)'!$B$5:$BB$14,53,FALSE)&gt;AH$150,0,IF(VLOOKUP($B138,'Indicator Data (national)'!$B$5:$BB$14,53,FALSE)&lt;AH$149,10,(AH$150-VLOOKUP($B138,'Indicator Data (national)'!$B$5:$BB$14,53,FALSE))/(AH$150-AH$149)*10)))</f>
        <v>x</v>
      </c>
      <c r="AI138" s="3">
        <f t="shared" si="50"/>
        <v>5.1365251441479209</v>
      </c>
      <c r="AJ138" s="5">
        <f t="shared" si="38"/>
        <v>7.7345352143123085</v>
      </c>
    </row>
    <row r="139" spans="1:36" x14ac:dyDescent="0.25">
      <c r="A139" s="16" t="s">
        <v>561</v>
      </c>
      <c r="B139" s="11" t="s">
        <v>581</v>
      </c>
      <c r="C139" s="126" t="s">
        <v>607</v>
      </c>
      <c r="D139" s="120">
        <f>(VLOOKUP($B139,'Indicator Data (national)'!$B$5:$AP$14,39,FALSE)+VLOOKUP($B139,'Indicator Data (national)'!$B$5:$AP$14,40,FALSE)+VLOOKUP($B139,'Indicator Data (national)'!$B$5:$AP$14,41,FALSE))/VLOOKUP($B139,'Indicator Data (national)'!$B$5:$AP$14,38,FALSE)*1000000</f>
        <v>0.70172402176158777</v>
      </c>
      <c r="E139" s="2">
        <f t="shared" si="39"/>
        <v>6.4913798911920617</v>
      </c>
      <c r="F139" s="3">
        <f t="shared" si="40"/>
        <v>6.4913798911920617</v>
      </c>
      <c r="G139" s="2">
        <f>IF(VLOOKUP($B139,'Indicator Data (national)'!$B$5:$AQ$14,30,FALSE)="No data","x",IF(VLOOKUP($B139,'Indicator Data (national)'!$B$5:$AQ$14,30,FALSE)&gt;G$150,10,IF(VLOOKUP($B139,'Indicator Data (national)'!$B$5:$AQ$14,30,FALSE)&lt;G$149,0,(G$150-VLOOKUP($B139,'Indicator Data (national)'!$B$5:$AQ$14,30,FALSE))/(G$150-G$149)*10)))</f>
        <v>7.4</v>
      </c>
      <c r="H139" s="2">
        <f>IF(VLOOKUP($B139,'Indicator Data (national)'!$B$5:$AQ$14,29,FALSE)="No data","x",IF(VLOOKUP($B139,'Indicator Data (national)'!$B$5:$AQ$14,29,FALSE)&gt;H$150,10,IF(VLOOKUP($B139,'Indicator Data (national)'!$B$5:$AQ$14,29,FALSE)&lt;H$149,0,(H$150-VLOOKUP($B139,'Indicator Data (national)'!$B$5:$AQ$14,29,FALSE))/(H$150-H$149)*10)))</f>
        <v>6.1603480577468872</v>
      </c>
      <c r="I139" s="3">
        <f t="shared" si="41"/>
        <v>6.7801740288734438</v>
      </c>
      <c r="J139" s="5">
        <f t="shared" si="42"/>
        <v>6.6357769600327527</v>
      </c>
      <c r="K139" s="2">
        <f>IF(VLOOKUP($B139,'Indicator Data (national)'!$B$5:$AQ$14,33,FALSE)="No data","x",IF(VLOOKUP($B139,'Indicator Data (national)'!$B$5:$AQ$14,33,FALSE)&gt;K$150,10,IF(VLOOKUP($B139,'Indicator Data (national)'!$B$5:$AQ$14,33,FALSE)&lt;K$149,0,(K$150-VLOOKUP($B139,'Indicator Data (national)'!$B$5:$AQ$14,33,FALSE))/(K$150-K$149)*10)))</f>
        <v>6.76</v>
      </c>
      <c r="L139" s="2">
        <f>IF(VLOOKUP($B139,'Indicator Data (national)'!$B$5:$AQ$14,34,FALSE)="No data","x",IF(VLOOKUP($B139,'Indicator Data (national)'!$B$5:$AQ$14,34,FALSE)&gt;L$150,10,IF(VLOOKUP($B139,'Indicator Data (national)'!$B$5:$AQ$14,34,FALSE)&lt;L$149,0,(L$150-VLOOKUP($B139,'Indicator Data (national)'!$B$5:$AQ$14,34,FALSE))/(L$150-L$149)*10)))</f>
        <v>5.5909309261937503</v>
      </c>
      <c r="M139" s="3">
        <f t="shared" si="43"/>
        <v>6.1754654630968755</v>
      </c>
      <c r="N139" s="2">
        <f>IF(VLOOKUP($B139,'Indicator Data (national)'!$B$5:$AS$14,44,FALSE)="No data","x",IF(VLOOKUP($B139,'Indicator Data (national)'!$B$5:$AS$14,44,FALSE)&gt;N$150,10,IF(VLOOKUP($B139,'Indicator Data (national)'!$B$5:$AS$14,44,FALSE)&lt;N$149,0,10-(N$150-VLOOKUP($B139,'Indicator Data (national)'!$B$5:$AS$14,44,FALSE))/(N$150-N$149)*10)))</f>
        <v>5.1111111111111116</v>
      </c>
      <c r="O139" s="2">
        <f>IF(VLOOKUP($B139,'Indicator Data (national)'!$B$5:$AS$14,42,FALSE)="No data","x",IF(VLOOKUP($B139,'Indicator Data (national)'!$B$5:$AS$14,42,FALSE)&gt;O$150,0,IF(VLOOKUP($B139,'Indicator Data (national)'!$B$5:$AS$14,42,FALSE)&lt;O$149,10,(O$150-VLOOKUP($B139,'Indicator Data (national)'!$B$5:$AS$14,42,FALSE))/(O$150-O$149)*10)))</f>
        <v>8.1208053691275168</v>
      </c>
      <c r="P139" s="158">
        <f t="shared" si="44"/>
        <v>6.6159582401193138</v>
      </c>
      <c r="Q139" s="2">
        <f>IF(VLOOKUP($B139,'Indicator Data (national)'!$B$5:$Q$14,16,FALSE)="No data","x",IF(VLOOKUP($B139,'Indicator Data (national)'!$B$5:$Q$14,16,FALSE)&gt;Q$150,0,IF(VLOOKUP($B139,'Indicator Data (national)'!$B$5:$Q$14,16,FALSE)&lt;Q$149,10,(Q$150-VLOOKUP($B139,'Indicator Data (national)'!$B$5:$Q$14,16,FALSE))/(Q$150-Q$149)*10)))</f>
        <v>8.8000000000000007</v>
      </c>
      <c r="R139" s="158">
        <f t="shared" si="45"/>
        <v>8.8000000000000007</v>
      </c>
      <c r="S139" s="3">
        <f t="shared" si="36"/>
        <v>7.7079791200596572</v>
      </c>
      <c r="T139" s="2">
        <f>IF(VLOOKUP($B139,'Indicator Data (national)'!$B$5:$BC$14,43,FALSE)="No data","x",IF(VLOOKUP($B139,'Indicator Data (national)'!$B$5:$BC$14,43,FALSE)&gt;T$150,10,IF(VLOOKUP($B139,'Indicator Data (national)'!$B$5:$BC$14,43,FALSE)&lt;T$149,0,(T$150-VLOOKUP($B139,'Indicator Data (national)'!$B$5:$BC$14,43,FALSE))/(T$150-T$149)*10)))</f>
        <v>6.94</v>
      </c>
      <c r="U139" s="3">
        <f t="shared" si="46"/>
        <v>6.94</v>
      </c>
      <c r="V139" s="5">
        <f t="shared" si="37"/>
        <v>6.9411481943855113</v>
      </c>
      <c r="W139" s="2">
        <f>IF(VLOOKUP($B139,'Indicator Data (national)'!$B$5:$AS$14,37,FALSE)="No data","x",IF(VLOOKUP($B139,'Indicator Data (national)'!$B$5:$AS$14,37,FALSE)&gt;W$150,10,IF(VLOOKUP($B139,'Indicator Data (national)'!$B$5:$AS$14,37,FALSE)&lt;W$149,0,(LOG(W$150)-LOG(VLOOKUP($B139,'Indicator Data (national)'!$B$5:$AS$14,37,FALSE)))/(LOG(W$150)-LOG(W$149))*10)))</f>
        <v>8.0776821151074323</v>
      </c>
      <c r="X139" s="2">
        <f>IF(VLOOKUP($B139,'Indicator Data (national)'!$B$5:$BB$14,45,FALSE)="No data","x",IF(VLOOKUP($B139,'Indicator Data (national)'!$B$5:$BB$14,45,FALSE)&gt;X$150,10,IF(VLOOKUP($B139,'Indicator Data (national)'!$B$5:$BB$14,45,FALSE)&lt;X$149,0,10-(X$150-VLOOKUP($B139,'Indicator Data (national)'!$B$5:$BB$14,45,FALSE))/(X$150-X$149)*10)))</f>
        <v>3.7777777777777777</v>
      </c>
      <c r="Y139" s="2">
        <f>IF(VLOOKUP($B139,'Indicator Data (national)'!$B$5:$BB$14,46,FALSE)="No data","x",IF(VLOOKUP($B139,'Indicator Data (national)'!$B$5:$BB$14,46,FALSE)&gt;Y$150,10,IF(VLOOKUP($B139,'Indicator Data (national)'!$B$5:$BB$14,46,FALSE)&lt;Y$149,0,(Y$150-VLOOKUP($B139,'Indicator Data (national)'!$B$5:$BB$14,46,FALSE))/(Y$150-Y$149)*10)))</f>
        <v>4.2</v>
      </c>
      <c r="Z139" s="156">
        <f>IF(VLOOKUP($B139,'Indicator Data (national)'!$B$5:$BB$14,48,FALSE)="No data","x",VLOOKUP($B139,'Indicator Data (national)'!$B$5:$BB$14,47,FALSE)*VLOOKUP($B139,'Indicator Data (national)'!$B$5:$BB$14,48,FALSE))</f>
        <v>12.598133134738728</v>
      </c>
      <c r="AA139" s="2">
        <f t="shared" si="47"/>
        <v>8.7401866865261262</v>
      </c>
      <c r="AB139" s="3">
        <f t="shared" si="48"/>
        <v>6.1989116448528341</v>
      </c>
      <c r="AC139" s="2">
        <f>IF(VLOOKUP($B139,'Indicator Data (national)'!$B$5:$BB$14,49,FALSE)="No data","x",IF(VLOOKUP($B139,'Indicator Data (national)'!$B$5:$BB$14,49,FALSE)&gt;AC$150,0,IF(VLOOKUP($B139,'Indicator Data (national)'!$B$5:$BB$14,49,FALSE)&lt;AC$149,10,(AC$150-VLOOKUP($B139,'Indicator Data (national)'!$B$5:$BB$14,49,FALSE))/(AC$150-AC$149)*10)))</f>
        <v>9.7080000000000002</v>
      </c>
      <c r="AD139" s="2">
        <f>IF(VLOOKUP($B139,'Indicator Data (national)'!$B$5:$BB$14,50,FALSE)="No data","x",IF(VLOOKUP($B139,'Indicator Data (national)'!$B$5:$BB$14,50,FALSE)&gt;AD$150,0,IF(VLOOKUP($B139,'Indicator Data (national)'!$B$5:$BB$14,50,FALSE)&lt;AD$149,10,(AD$150-VLOOKUP($B139,'Indicator Data (national)'!$B$5:$BB$14,50,FALSE))/(AD$150-AD$149)*10)))</f>
        <v>9.8327999999999989</v>
      </c>
      <c r="AE139" s="3">
        <f t="shared" si="49"/>
        <v>9.7703999999999986</v>
      </c>
      <c r="AF139" s="2">
        <f>IF(VLOOKUP($B139,'Indicator Data (national)'!$B$5:$BB$14,51,FALSE)="No data","x",IF(VLOOKUP($B139,'Indicator Data (national)'!$B$5:$BB$14,51,FALSE)&gt;AF$150,0,IF(VLOOKUP($B139,'Indicator Data (national)'!$B$5:$BB$14,51,FALSE)&lt;AF$149,10,(AF$150-VLOOKUP($B139,'Indicator Data (national)'!$B$5:$BB$14,51,FALSE))/(AF$150-AF$149)*10)))</f>
        <v>7.5200579653028035</v>
      </c>
      <c r="AG139" s="2">
        <f>IF(VLOOKUP($B139,'Indicator Data (national)'!$B$5:$BB$14,52,FALSE)="No data","x",IF(VLOOKUP($B139,'Indicator Data (national)'!$B$5:$BB$14,52,FALSE)&gt;AG$150,0,IF(VLOOKUP($B139,'Indicator Data (national)'!$B$5:$BB$14,52,FALSE)&lt;AG$149,10,(AG$150-VLOOKUP($B139,'Indicator Data (national)'!$B$5:$BB$14,52,FALSE))/(AG$150-AG$149)*10)))</f>
        <v>4.9663519999999997</v>
      </c>
      <c r="AH139" s="2">
        <f>IF(VLOOKUP($B139,'Indicator Data (national)'!$B$5:$BB$14,53,FALSE)="No data","x",IF(VLOOKUP($B139,'Indicator Data (national)'!$B$5:$BB$14,53,FALSE)&gt;AH$150,0,IF(VLOOKUP($B139,'Indicator Data (national)'!$B$5:$BB$14,53,FALSE)&lt;AH$149,10,(AH$150-VLOOKUP($B139,'Indicator Data (national)'!$B$5:$BB$14,53,FALSE))/(AH$150-AH$149)*10)))</f>
        <v>1.3316553873052239</v>
      </c>
      <c r="AI139" s="3">
        <f t="shared" si="50"/>
        <v>4.6060217842026754</v>
      </c>
      <c r="AJ139" s="5">
        <f t="shared" si="38"/>
        <v>6.8584444763518357</v>
      </c>
    </row>
    <row r="140" spans="1:36" x14ac:dyDescent="0.25">
      <c r="A140" s="16" t="s">
        <v>562</v>
      </c>
      <c r="B140" s="11" t="s">
        <v>581</v>
      </c>
      <c r="C140" s="126" t="s">
        <v>608</v>
      </c>
      <c r="D140" s="120">
        <f>(VLOOKUP($B140,'Indicator Data (national)'!$B$5:$AP$14,39,FALSE)+VLOOKUP($B140,'Indicator Data (national)'!$B$5:$AP$14,40,FALSE)+VLOOKUP($B140,'Indicator Data (national)'!$B$5:$AP$14,41,FALSE))/VLOOKUP($B140,'Indicator Data (national)'!$B$5:$AP$14,38,FALSE)*1000000</f>
        <v>0.70172402176158777</v>
      </c>
      <c r="E140" s="2">
        <f t="shared" si="39"/>
        <v>6.4913798911920617</v>
      </c>
      <c r="F140" s="3">
        <f t="shared" si="40"/>
        <v>6.4913798911920617</v>
      </c>
      <c r="G140" s="2">
        <f>IF(VLOOKUP($B140,'Indicator Data (national)'!$B$5:$AQ$14,30,FALSE)="No data","x",IF(VLOOKUP($B140,'Indicator Data (national)'!$B$5:$AQ$14,30,FALSE)&gt;G$150,10,IF(VLOOKUP($B140,'Indicator Data (national)'!$B$5:$AQ$14,30,FALSE)&lt;G$149,0,(G$150-VLOOKUP($B140,'Indicator Data (national)'!$B$5:$AQ$14,30,FALSE))/(G$150-G$149)*10)))</f>
        <v>7.4</v>
      </c>
      <c r="H140" s="2">
        <f>IF(VLOOKUP($B140,'Indicator Data (national)'!$B$5:$AQ$14,29,FALSE)="No data","x",IF(VLOOKUP($B140,'Indicator Data (national)'!$B$5:$AQ$14,29,FALSE)&gt;H$150,10,IF(VLOOKUP($B140,'Indicator Data (national)'!$B$5:$AQ$14,29,FALSE)&lt;H$149,0,(H$150-VLOOKUP($B140,'Indicator Data (national)'!$B$5:$AQ$14,29,FALSE))/(H$150-H$149)*10)))</f>
        <v>6.1603480577468872</v>
      </c>
      <c r="I140" s="3">
        <f t="shared" si="41"/>
        <v>6.7801740288734438</v>
      </c>
      <c r="J140" s="5">
        <f t="shared" si="42"/>
        <v>6.6357769600327527</v>
      </c>
      <c r="K140" s="2">
        <f>IF(VLOOKUP($B140,'Indicator Data (national)'!$B$5:$AQ$14,33,FALSE)="No data","x",IF(VLOOKUP($B140,'Indicator Data (national)'!$B$5:$AQ$14,33,FALSE)&gt;K$150,10,IF(VLOOKUP($B140,'Indicator Data (national)'!$B$5:$AQ$14,33,FALSE)&lt;K$149,0,(K$150-VLOOKUP($B140,'Indicator Data (national)'!$B$5:$AQ$14,33,FALSE))/(K$150-K$149)*10)))</f>
        <v>6.76</v>
      </c>
      <c r="L140" s="2">
        <f>IF(VLOOKUP($B140,'Indicator Data (national)'!$B$5:$AQ$14,34,FALSE)="No data","x",IF(VLOOKUP($B140,'Indicator Data (national)'!$B$5:$AQ$14,34,FALSE)&gt;L$150,10,IF(VLOOKUP($B140,'Indicator Data (national)'!$B$5:$AQ$14,34,FALSE)&lt;L$149,0,(L$150-VLOOKUP($B140,'Indicator Data (national)'!$B$5:$AQ$14,34,FALSE))/(L$150-L$149)*10)))</f>
        <v>5.5909309261937503</v>
      </c>
      <c r="M140" s="3">
        <f t="shared" si="43"/>
        <v>6.1754654630968755</v>
      </c>
      <c r="N140" s="2">
        <f>IF(VLOOKUP($B140,'Indicator Data (national)'!$B$5:$AS$14,44,FALSE)="No data","x",IF(VLOOKUP($B140,'Indicator Data (national)'!$B$5:$AS$14,44,FALSE)&gt;N$150,10,IF(VLOOKUP($B140,'Indicator Data (national)'!$B$5:$AS$14,44,FALSE)&lt;N$149,0,10-(N$150-VLOOKUP($B140,'Indicator Data (national)'!$B$5:$AS$14,44,FALSE))/(N$150-N$149)*10)))</f>
        <v>5.1111111111111116</v>
      </c>
      <c r="O140" s="2">
        <f>IF(VLOOKUP($B140,'Indicator Data (national)'!$B$5:$AS$14,42,FALSE)="No data","x",IF(VLOOKUP($B140,'Indicator Data (national)'!$B$5:$AS$14,42,FALSE)&gt;O$150,0,IF(VLOOKUP($B140,'Indicator Data (national)'!$B$5:$AS$14,42,FALSE)&lt;O$149,10,(O$150-VLOOKUP($B140,'Indicator Data (national)'!$B$5:$AS$14,42,FALSE))/(O$150-O$149)*10)))</f>
        <v>8.1208053691275168</v>
      </c>
      <c r="P140" s="158">
        <f t="shared" si="44"/>
        <v>6.6159582401193138</v>
      </c>
      <c r="Q140" s="2">
        <f>IF(VLOOKUP($B140,'Indicator Data (national)'!$B$5:$Q$14,16,FALSE)="No data","x",IF(VLOOKUP($B140,'Indicator Data (national)'!$B$5:$Q$14,16,FALSE)&gt;Q$150,0,IF(VLOOKUP($B140,'Indicator Data (national)'!$B$5:$Q$14,16,FALSE)&lt;Q$149,10,(Q$150-VLOOKUP($B140,'Indicator Data (national)'!$B$5:$Q$14,16,FALSE))/(Q$150-Q$149)*10)))</f>
        <v>8.8000000000000007</v>
      </c>
      <c r="R140" s="158">
        <f t="shared" si="45"/>
        <v>8.8000000000000007</v>
      </c>
      <c r="S140" s="3">
        <f t="shared" si="36"/>
        <v>7.7079791200596572</v>
      </c>
      <c r="T140" s="2">
        <f>IF(VLOOKUP($B140,'Indicator Data (national)'!$B$5:$BC$14,43,FALSE)="No data","x",IF(VLOOKUP($B140,'Indicator Data (national)'!$B$5:$BC$14,43,FALSE)&gt;T$150,10,IF(VLOOKUP($B140,'Indicator Data (national)'!$B$5:$BC$14,43,FALSE)&lt;T$149,0,(T$150-VLOOKUP($B140,'Indicator Data (national)'!$B$5:$BC$14,43,FALSE))/(T$150-T$149)*10)))</f>
        <v>6.94</v>
      </c>
      <c r="U140" s="3">
        <f t="shared" si="46"/>
        <v>6.94</v>
      </c>
      <c r="V140" s="5">
        <f t="shared" si="37"/>
        <v>6.9411481943855113</v>
      </c>
      <c r="W140" s="2">
        <f>IF(VLOOKUP($B140,'Indicator Data (national)'!$B$5:$AS$14,37,FALSE)="No data","x",IF(VLOOKUP($B140,'Indicator Data (national)'!$B$5:$AS$14,37,FALSE)&gt;W$150,10,IF(VLOOKUP($B140,'Indicator Data (national)'!$B$5:$AS$14,37,FALSE)&lt;W$149,0,(LOG(W$150)-LOG(VLOOKUP($B140,'Indicator Data (national)'!$B$5:$AS$14,37,FALSE)))/(LOG(W$150)-LOG(W$149))*10)))</f>
        <v>8.0776821151074323</v>
      </c>
      <c r="X140" s="2">
        <f>IF(VLOOKUP($B140,'Indicator Data (national)'!$B$5:$BB$14,45,FALSE)="No data","x",IF(VLOOKUP($B140,'Indicator Data (national)'!$B$5:$BB$14,45,FALSE)&gt;X$150,10,IF(VLOOKUP($B140,'Indicator Data (national)'!$B$5:$BB$14,45,FALSE)&lt;X$149,0,10-(X$150-VLOOKUP($B140,'Indicator Data (national)'!$B$5:$BB$14,45,FALSE))/(X$150-X$149)*10)))</f>
        <v>3.7777777777777777</v>
      </c>
      <c r="Y140" s="2">
        <f>IF(VLOOKUP($B140,'Indicator Data (national)'!$B$5:$BB$14,46,FALSE)="No data","x",IF(VLOOKUP($B140,'Indicator Data (national)'!$B$5:$BB$14,46,FALSE)&gt;Y$150,10,IF(VLOOKUP($B140,'Indicator Data (national)'!$B$5:$BB$14,46,FALSE)&lt;Y$149,0,(Y$150-VLOOKUP($B140,'Indicator Data (national)'!$B$5:$BB$14,46,FALSE))/(Y$150-Y$149)*10)))</f>
        <v>4.2</v>
      </c>
      <c r="Z140" s="156">
        <f>IF(VLOOKUP($B140,'Indicator Data (national)'!$B$5:$BB$14,48,FALSE)="No data","x",VLOOKUP($B140,'Indicator Data (national)'!$B$5:$BB$14,47,FALSE)*VLOOKUP($B140,'Indicator Data (national)'!$B$5:$BB$14,48,FALSE))</f>
        <v>12.598133134738728</v>
      </c>
      <c r="AA140" s="2">
        <f t="shared" si="47"/>
        <v>8.7401866865261262</v>
      </c>
      <c r="AB140" s="3">
        <f t="shared" si="48"/>
        <v>6.1989116448528341</v>
      </c>
      <c r="AC140" s="2">
        <f>IF(VLOOKUP($B140,'Indicator Data (national)'!$B$5:$BB$14,49,FALSE)="No data","x",IF(VLOOKUP($B140,'Indicator Data (national)'!$B$5:$BB$14,49,FALSE)&gt;AC$150,0,IF(VLOOKUP($B140,'Indicator Data (national)'!$B$5:$BB$14,49,FALSE)&lt;AC$149,10,(AC$150-VLOOKUP($B140,'Indicator Data (national)'!$B$5:$BB$14,49,FALSE))/(AC$150-AC$149)*10)))</f>
        <v>9.7080000000000002</v>
      </c>
      <c r="AD140" s="2">
        <f>IF(VLOOKUP($B140,'Indicator Data (national)'!$B$5:$BB$14,50,FALSE)="No data","x",IF(VLOOKUP($B140,'Indicator Data (national)'!$B$5:$BB$14,50,FALSE)&gt;AD$150,0,IF(VLOOKUP($B140,'Indicator Data (national)'!$B$5:$BB$14,50,FALSE)&lt;AD$149,10,(AD$150-VLOOKUP($B140,'Indicator Data (national)'!$B$5:$BB$14,50,FALSE))/(AD$150-AD$149)*10)))</f>
        <v>9.8327999999999989</v>
      </c>
      <c r="AE140" s="3">
        <f t="shared" si="49"/>
        <v>9.7703999999999986</v>
      </c>
      <c r="AF140" s="2">
        <f>IF(VLOOKUP($B140,'Indicator Data (national)'!$B$5:$BB$14,51,FALSE)="No data","x",IF(VLOOKUP($B140,'Indicator Data (national)'!$B$5:$BB$14,51,FALSE)&gt;AF$150,0,IF(VLOOKUP($B140,'Indicator Data (national)'!$B$5:$BB$14,51,FALSE)&lt;AF$149,10,(AF$150-VLOOKUP($B140,'Indicator Data (national)'!$B$5:$BB$14,51,FALSE))/(AF$150-AF$149)*10)))</f>
        <v>7.5200579653028035</v>
      </c>
      <c r="AG140" s="2">
        <f>IF(VLOOKUP($B140,'Indicator Data (national)'!$B$5:$BB$14,52,FALSE)="No data","x",IF(VLOOKUP($B140,'Indicator Data (national)'!$B$5:$BB$14,52,FALSE)&gt;AG$150,0,IF(VLOOKUP($B140,'Indicator Data (national)'!$B$5:$BB$14,52,FALSE)&lt;AG$149,10,(AG$150-VLOOKUP($B140,'Indicator Data (national)'!$B$5:$BB$14,52,FALSE))/(AG$150-AG$149)*10)))</f>
        <v>4.9663519999999997</v>
      </c>
      <c r="AH140" s="2">
        <f>IF(VLOOKUP($B140,'Indicator Data (national)'!$B$5:$BB$14,53,FALSE)="No data","x",IF(VLOOKUP($B140,'Indicator Data (national)'!$B$5:$BB$14,53,FALSE)&gt;AH$150,0,IF(VLOOKUP($B140,'Indicator Data (national)'!$B$5:$BB$14,53,FALSE)&lt;AH$149,10,(AH$150-VLOOKUP($B140,'Indicator Data (national)'!$B$5:$BB$14,53,FALSE))/(AH$150-AH$149)*10)))</f>
        <v>1.3316553873052239</v>
      </c>
      <c r="AI140" s="3">
        <f t="shared" si="50"/>
        <v>4.6060217842026754</v>
      </c>
      <c r="AJ140" s="5">
        <f t="shared" si="38"/>
        <v>6.8584444763518357</v>
      </c>
    </row>
    <row r="141" spans="1:36" x14ac:dyDescent="0.25">
      <c r="A141" s="16" t="s">
        <v>563</v>
      </c>
      <c r="B141" s="11" t="s">
        <v>581</v>
      </c>
      <c r="C141" s="126" t="s">
        <v>609</v>
      </c>
      <c r="D141" s="120">
        <f>(VLOOKUP($B141,'Indicator Data (national)'!$B$5:$AP$14,39,FALSE)+VLOOKUP($B141,'Indicator Data (national)'!$B$5:$AP$14,40,FALSE)+VLOOKUP($B141,'Indicator Data (national)'!$B$5:$AP$14,41,FALSE))/VLOOKUP($B141,'Indicator Data (national)'!$B$5:$AP$14,38,FALSE)*1000000</f>
        <v>0.70172402176158777</v>
      </c>
      <c r="E141" s="2">
        <f t="shared" si="39"/>
        <v>6.4913798911920617</v>
      </c>
      <c r="F141" s="3">
        <f t="shared" si="40"/>
        <v>6.4913798911920617</v>
      </c>
      <c r="G141" s="2">
        <f>IF(VLOOKUP($B141,'Indicator Data (national)'!$B$5:$AQ$14,30,FALSE)="No data","x",IF(VLOOKUP($B141,'Indicator Data (national)'!$B$5:$AQ$14,30,FALSE)&gt;G$150,10,IF(VLOOKUP($B141,'Indicator Data (national)'!$B$5:$AQ$14,30,FALSE)&lt;G$149,0,(G$150-VLOOKUP($B141,'Indicator Data (national)'!$B$5:$AQ$14,30,FALSE))/(G$150-G$149)*10)))</f>
        <v>7.4</v>
      </c>
      <c r="H141" s="2">
        <f>IF(VLOOKUP($B141,'Indicator Data (national)'!$B$5:$AQ$14,29,FALSE)="No data","x",IF(VLOOKUP($B141,'Indicator Data (national)'!$B$5:$AQ$14,29,FALSE)&gt;H$150,10,IF(VLOOKUP($B141,'Indicator Data (national)'!$B$5:$AQ$14,29,FALSE)&lt;H$149,0,(H$150-VLOOKUP($B141,'Indicator Data (national)'!$B$5:$AQ$14,29,FALSE))/(H$150-H$149)*10)))</f>
        <v>6.1603480577468872</v>
      </c>
      <c r="I141" s="3">
        <f t="shared" si="41"/>
        <v>6.7801740288734438</v>
      </c>
      <c r="J141" s="5">
        <f t="shared" si="42"/>
        <v>6.6357769600327527</v>
      </c>
      <c r="K141" s="2">
        <f>IF(VLOOKUP($B141,'Indicator Data (national)'!$B$5:$AQ$14,33,FALSE)="No data","x",IF(VLOOKUP($B141,'Indicator Data (national)'!$B$5:$AQ$14,33,FALSE)&gt;K$150,10,IF(VLOOKUP($B141,'Indicator Data (national)'!$B$5:$AQ$14,33,FALSE)&lt;K$149,0,(K$150-VLOOKUP($B141,'Indicator Data (national)'!$B$5:$AQ$14,33,FALSE))/(K$150-K$149)*10)))</f>
        <v>6.76</v>
      </c>
      <c r="L141" s="2">
        <f>IF(VLOOKUP($B141,'Indicator Data (national)'!$B$5:$AQ$14,34,FALSE)="No data","x",IF(VLOOKUP($B141,'Indicator Data (national)'!$B$5:$AQ$14,34,FALSE)&gt;L$150,10,IF(VLOOKUP($B141,'Indicator Data (national)'!$B$5:$AQ$14,34,FALSE)&lt;L$149,0,(L$150-VLOOKUP($B141,'Indicator Data (national)'!$B$5:$AQ$14,34,FALSE))/(L$150-L$149)*10)))</f>
        <v>5.5909309261937503</v>
      </c>
      <c r="M141" s="3">
        <f t="shared" si="43"/>
        <v>6.1754654630968755</v>
      </c>
      <c r="N141" s="2">
        <f>IF(VLOOKUP($B141,'Indicator Data (national)'!$B$5:$AS$14,44,FALSE)="No data","x",IF(VLOOKUP($B141,'Indicator Data (national)'!$B$5:$AS$14,44,FALSE)&gt;N$150,10,IF(VLOOKUP($B141,'Indicator Data (national)'!$B$5:$AS$14,44,FALSE)&lt;N$149,0,10-(N$150-VLOOKUP($B141,'Indicator Data (national)'!$B$5:$AS$14,44,FALSE))/(N$150-N$149)*10)))</f>
        <v>5.1111111111111116</v>
      </c>
      <c r="O141" s="2">
        <f>IF(VLOOKUP($B141,'Indicator Data (national)'!$B$5:$AS$14,42,FALSE)="No data","x",IF(VLOOKUP($B141,'Indicator Data (national)'!$B$5:$AS$14,42,FALSE)&gt;O$150,0,IF(VLOOKUP($B141,'Indicator Data (national)'!$B$5:$AS$14,42,FALSE)&lt;O$149,10,(O$150-VLOOKUP($B141,'Indicator Data (national)'!$B$5:$AS$14,42,FALSE))/(O$150-O$149)*10)))</f>
        <v>8.1208053691275168</v>
      </c>
      <c r="P141" s="158">
        <f t="shared" si="44"/>
        <v>6.6159582401193138</v>
      </c>
      <c r="Q141" s="2">
        <f>IF(VLOOKUP($B141,'Indicator Data (national)'!$B$5:$Q$14,16,FALSE)="No data","x",IF(VLOOKUP($B141,'Indicator Data (national)'!$B$5:$Q$14,16,FALSE)&gt;Q$150,0,IF(VLOOKUP($B141,'Indicator Data (national)'!$B$5:$Q$14,16,FALSE)&lt;Q$149,10,(Q$150-VLOOKUP($B141,'Indicator Data (national)'!$B$5:$Q$14,16,FALSE))/(Q$150-Q$149)*10)))</f>
        <v>8.8000000000000007</v>
      </c>
      <c r="R141" s="158">
        <f t="shared" si="45"/>
        <v>8.8000000000000007</v>
      </c>
      <c r="S141" s="3">
        <f t="shared" si="36"/>
        <v>7.7079791200596572</v>
      </c>
      <c r="T141" s="2">
        <f>IF(VLOOKUP($B141,'Indicator Data (national)'!$B$5:$BC$14,43,FALSE)="No data","x",IF(VLOOKUP($B141,'Indicator Data (national)'!$B$5:$BC$14,43,FALSE)&gt;T$150,10,IF(VLOOKUP($B141,'Indicator Data (national)'!$B$5:$BC$14,43,FALSE)&lt;T$149,0,(T$150-VLOOKUP($B141,'Indicator Data (national)'!$B$5:$BC$14,43,FALSE))/(T$150-T$149)*10)))</f>
        <v>6.94</v>
      </c>
      <c r="U141" s="3">
        <f t="shared" si="46"/>
        <v>6.94</v>
      </c>
      <c r="V141" s="5">
        <f t="shared" si="37"/>
        <v>6.9411481943855113</v>
      </c>
      <c r="W141" s="2">
        <f>IF(VLOOKUP($B141,'Indicator Data (national)'!$B$5:$AS$14,37,FALSE)="No data","x",IF(VLOOKUP($B141,'Indicator Data (national)'!$B$5:$AS$14,37,FALSE)&gt;W$150,10,IF(VLOOKUP($B141,'Indicator Data (national)'!$B$5:$AS$14,37,FALSE)&lt;W$149,0,(LOG(W$150)-LOG(VLOOKUP($B141,'Indicator Data (national)'!$B$5:$AS$14,37,FALSE)))/(LOG(W$150)-LOG(W$149))*10)))</f>
        <v>8.0776821151074323</v>
      </c>
      <c r="X141" s="2">
        <f>IF(VLOOKUP($B141,'Indicator Data (national)'!$B$5:$BB$14,45,FALSE)="No data","x",IF(VLOOKUP($B141,'Indicator Data (national)'!$B$5:$BB$14,45,FALSE)&gt;X$150,10,IF(VLOOKUP($B141,'Indicator Data (national)'!$B$5:$BB$14,45,FALSE)&lt;X$149,0,10-(X$150-VLOOKUP($B141,'Indicator Data (national)'!$B$5:$BB$14,45,FALSE))/(X$150-X$149)*10)))</f>
        <v>3.7777777777777777</v>
      </c>
      <c r="Y141" s="2">
        <f>IF(VLOOKUP($B141,'Indicator Data (national)'!$B$5:$BB$14,46,FALSE)="No data","x",IF(VLOOKUP($B141,'Indicator Data (national)'!$B$5:$BB$14,46,FALSE)&gt;Y$150,10,IF(VLOOKUP($B141,'Indicator Data (national)'!$B$5:$BB$14,46,FALSE)&lt;Y$149,0,(Y$150-VLOOKUP($B141,'Indicator Data (national)'!$B$5:$BB$14,46,FALSE))/(Y$150-Y$149)*10)))</f>
        <v>4.2</v>
      </c>
      <c r="Z141" s="156">
        <f>IF(VLOOKUP($B141,'Indicator Data (national)'!$B$5:$BB$14,48,FALSE)="No data","x",VLOOKUP($B141,'Indicator Data (national)'!$B$5:$BB$14,47,FALSE)*VLOOKUP($B141,'Indicator Data (national)'!$B$5:$BB$14,48,FALSE))</f>
        <v>12.598133134738728</v>
      </c>
      <c r="AA141" s="2">
        <f t="shared" si="47"/>
        <v>8.7401866865261262</v>
      </c>
      <c r="AB141" s="3">
        <f t="shared" si="48"/>
        <v>6.1989116448528341</v>
      </c>
      <c r="AC141" s="2">
        <f>IF(VLOOKUP($B141,'Indicator Data (national)'!$B$5:$BB$14,49,FALSE)="No data","x",IF(VLOOKUP($B141,'Indicator Data (national)'!$B$5:$BB$14,49,FALSE)&gt;AC$150,0,IF(VLOOKUP($B141,'Indicator Data (national)'!$B$5:$BB$14,49,FALSE)&lt;AC$149,10,(AC$150-VLOOKUP($B141,'Indicator Data (national)'!$B$5:$BB$14,49,FALSE))/(AC$150-AC$149)*10)))</f>
        <v>9.7080000000000002</v>
      </c>
      <c r="AD141" s="2">
        <f>IF(VLOOKUP($B141,'Indicator Data (national)'!$B$5:$BB$14,50,FALSE)="No data","x",IF(VLOOKUP($B141,'Indicator Data (national)'!$B$5:$BB$14,50,FALSE)&gt;AD$150,0,IF(VLOOKUP($B141,'Indicator Data (national)'!$B$5:$BB$14,50,FALSE)&lt;AD$149,10,(AD$150-VLOOKUP($B141,'Indicator Data (national)'!$B$5:$BB$14,50,FALSE))/(AD$150-AD$149)*10)))</f>
        <v>9.8327999999999989</v>
      </c>
      <c r="AE141" s="3">
        <f t="shared" si="49"/>
        <v>9.7703999999999986</v>
      </c>
      <c r="AF141" s="2">
        <f>IF(VLOOKUP($B141,'Indicator Data (national)'!$B$5:$BB$14,51,FALSE)="No data","x",IF(VLOOKUP($B141,'Indicator Data (national)'!$B$5:$BB$14,51,FALSE)&gt;AF$150,0,IF(VLOOKUP($B141,'Indicator Data (national)'!$B$5:$BB$14,51,FALSE)&lt;AF$149,10,(AF$150-VLOOKUP($B141,'Indicator Data (national)'!$B$5:$BB$14,51,FALSE))/(AF$150-AF$149)*10)))</f>
        <v>7.5200579653028035</v>
      </c>
      <c r="AG141" s="2">
        <f>IF(VLOOKUP($B141,'Indicator Data (national)'!$B$5:$BB$14,52,FALSE)="No data","x",IF(VLOOKUP($B141,'Indicator Data (national)'!$B$5:$BB$14,52,FALSE)&gt;AG$150,0,IF(VLOOKUP($B141,'Indicator Data (national)'!$B$5:$BB$14,52,FALSE)&lt;AG$149,10,(AG$150-VLOOKUP($B141,'Indicator Data (national)'!$B$5:$BB$14,52,FALSE))/(AG$150-AG$149)*10)))</f>
        <v>4.9663519999999997</v>
      </c>
      <c r="AH141" s="2">
        <f>IF(VLOOKUP($B141,'Indicator Data (national)'!$B$5:$BB$14,53,FALSE)="No data","x",IF(VLOOKUP($B141,'Indicator Data (national)'!$B$5:$BB$14,53,FALSE)&gt;AH$150,0,IF(VLOOKUP($B141,'Indicator Data (national)'!$B$5:$BB$14,53,FALSE)&lt;AH$149,10,(AH$150-VLOOKUP($B141,'Indicator Data (national)'!$B$5:$BB$14,53,FALSE))/(AH$150-AH$149)*10)))</f>
        <v>1.3316553873052239</v>
      </c>
      <c r="AI141" s="3">
        <f t="shared" si="50"/>
        <v>4.6060217842026754</v>
      </c>
      <c r="AJ141" s="5">
        <f t="shared" si="38"/>
        <v>6.8584444763518357</v>
      </c>
    </row>
    <row r="142" spans="1:36" x14ac:dyDescent="0.25">
      <c r="A142" s="16" t="s">
        <v>564</v>
      </c>
      <c r="B142" s="11" t="s">
        <v>581</v>
      </c>
      <c r="C142" s="126" t="s">
        <v>610</v>
      </c>
      <c r="D142" s="120">
        <f>(VLOOKUP($B142,'Indicator Data (national)'!$B$5:$AP$14,39,FALSE)+VLOOKUP($B142,'Indicator Data (national)'!$B$5:$AP$14,40,FALSE)+VLOOKUP($B142,'Indicator Data (national)'!$B$5:$AP$14,41,FALSE))/VLOOKUP($B142,'Indicator Data (national)'!$B$5:$AP$14,38,FALSE)*1000000</f>
        <v>0.70172402176158777</v>
      </c>
      <c r="E142" s="2">
        <f t="shared" si="39"/>
        <v>6.4913798911920617</v>
      </c>
      <c r="F142" s="3">
        <f t="shared" si="40"/>
        <v>6.4913798911920617</v>
      </c>
      <c r="G142" s="2">
        <f>IF(VLOOKUP($B142,'Indicator Data (national)'!$B$5:$AQ$14,30,FALSE)="No data","x",IF(VLOOKUP($B142,'Indicator Data (national)'!$B$5:$AQ$14,30,FALSE)&gt;G$150,10,IF(VLOOKUP($B142,'Indicator Data (national)'!$B$5:$AQ$14,30,FALSE)&lt;G$149,0,(G$150-VLOOKUP($B142,'Indicator Data (national)'!$B$5:$AQ$14,30,FALSE))/(G$150-G$149)*10)))</f>
        <v>7.4</v>
      </c>
      <c r="H142" s="2">
        <f>IF(VLOOKUP($B142,'Indicator Data (national)'!$B$5:$AQ$14,29,FALSE)="No data","x",IF(VLOOKUP($B142,'Indicator Data (national)'!$B$5:$AQ$14,29,FALSE)&gt;H$150,10,IF(VLOOKUP($B142,'Indicator Data (national)'!$B$5:$AQ$14,29,FALSE)&lt;H$149,0,(H$150-VLOOKUP($B142,'Indicator Data (national)'!$B$5:$AQ$14,29,FALSE))/(H$150-H$149)*10)))</f>
        <v>6.1603480577468872</v>
      </c>
      <c r="I142" s="3">
        <f t="shared" si="41"/>
        <v>6.7801740288734438</v>
      </c>
      <c r="J142" s="5">
        <f t="shared" si="42"/>
        <v>6.6357769600327527</v>
      </c>
      <c r="K142" s="2">
        <f>IF(VLOOKUP($B142,'Indicator Data (national)'!$B$5:$AQ$14,33,FALSE)="No data","x",IF(VLOOKUP($B142,'Indicator Data (national)'!$B$5:$AQ$14,33,FALSE)&gt;K$150,10,IF(VLOOKUP($B142,'Indicator Data (national)'!$B$5:$AQ$14,33,FALSE)&lt;K$149,0,(K$150-VLOOKUP($B142,'Indicator Data (national)'!$B$5:$AQ$14,33,FALSE))/(K$150-K$149)*10)))</f>
        <v>6.76</v>
      </c>
      <c r="L142" s="2">
        <f>IF(VLOOKUP($B142,'Indicator Data (national)'!$B$5:$AQ$14,34,FALSE)="No data","x",IF(VLOOKUP($B142,'Indicator Data (national)'!$B$5:$AQ$14,34,FALSE)&gt;L$150,10,IF(VLOOKUP($B142,'Indicator Data (national)'!$B$5:$AQ$14,34,FALSE)&lt;L$149,0,(L$150-VLOOKUP($B142,'Indicator Data (national)'!$B$5:$AQ$14,34,FALSE))/(L$150-L$149)*10)))</f>
        <v>5.5909309261937503</v>
      </c>
      <c r="M142" s="3">
        <f t="shared" si="43"/>
        <v>6.1754654630968755</v>
      </c>
      <c r="N142" s="2">
        <f>IF(VLOOKUP($B142,'Indicator Data (national)'!$B$5:$AS$14,44,FALSE)="No data","x",IF(VLOOKUP($B142,'Indicator Data (national)'!$B$5:$AS$14,44,FALSE)&gt;N$150,10,IF(VLOOKUP($B142,'Indicator Data (national)'!$B$5:$AS$14,44,FALSE)&lt;N$149,0,10-(N$150-VLOOKUP($B142,'Indicator Data (national)'!$B$5:$AS$14,44,FALSE))/(N$150-N$149)*10)))</f>
        <v>5.1111111111111116</v>
      </c>
      <c r="O142" s="2">
        <f>IF(VLOOKUP($B142,'Indicator Data (national)'!$B$5:$AS$14,42,FALSE)="No data","x",IF(VLOOKUP($B142,'Indicator Data (national)'!$B$5:$AS$14,42,FALSE)&gt;O$150,0,IF(VLOOKUP($B142,'Indicator Data (national)'!$B$5:$AS$14,42,FALSE)&lt;O$149,10,(O$150-VLOOKUP($B142,'Indicator Data (national)'!$B$5:$AS$14,42,FALSE))/(O$150-O$149)*10)))</f>
        <v>8.1208053691275168</v>
      </c>
      <c r="P142" s="158">
        <f t="shared" si="44"/>
        <v>6.6159582401193138</v>
      </c>
      <c r="Q142" s="2">
        <f>IF(VLOOKUP($B142,'Indicator Data (national)'!$B$5:$Q$14,16,FALSE)="No data","x",IF(VLOOKUP($B142,'Indicator Data (national)'!$B$5:$Q$14,16,FALSE)&gt;Q$150,0,IF(VLOOKUP($B142,'Indicator Data (national)'!$B$5:$Q$14,16,FALSE)&lt;Q$149,10,(Q$150-VLOOKUP($B142,'Indicator Data (national)'!$B$5:$Q$14,16,FALSE))/(Q$150-Q$149)*10)))</f>
        <v>8.8000000000000007</v>
      </c>
      <c r="R142" s="158">
        <f t="shared" si="45"/>
        <v>8.8000000000000007</v>
      </c>
      <c r="S142" s="3">
        <f t="shared" si="36"/>
        <v>7.7079791200596572</v>
      </c>
      <c r="T142" s="2">
        <f>IF(VLOOKUP($B142,'Indicator Data (national)'!$B$5:$BC$14,43,FALSE)="No data","x",IF(VLOOKUP($B142,'Indicator Data (national)'!$B$5:$BC$14,43,FALSE)&gt;T$150,10,IF(VLOOKUP($B142,'Indicator Data (national)'!$B$5:$BC$14,43,FALSE)&lt;T$149,0,(T$150-VLOOKUP($B142,'Indicator Data (national)'!$B$5:$BC$14,43,FALSE))/(T$150-T$149)*10)))</f>
        <v>6.94</v>
      </c>
      <c r="U142" s="3">
        <f t="shared" si="46"/>
        <v>6.94</v>
      </c>
      <c r="V142" s="5">
        <f t="shared" si="37"/>
        <v>6.9411481943855113</v>
      </c>
      <c r="W142" s="2">
        <f>IF(VLOOKUP($B142,'Indicator Data (national)'!$B$5:$AS$14,37,FALSE)="No data","x",IF(VLOOKUP($B142,'Indicator Data (national)'!$B$5:$AS$14,37,FALSE)&gt;W$150,10,IF(VLOOKUP($B142,'Indicator Data (national)'!$B$5:$AS$14,37,FALSE)&lt;W$149,0,(LOG(W$150)-LOG(VLOOKUP($B142,'Indicator Data (national)'!$B$5:$AS$14,37,FALSE)))/(LOG(W$150)-LOG(W$149))*10)))</f>
        <v>8.0776821151074323</v>
      </c>
      <c r="X142" s="2">
        <f>IF(VLOOKUP($B142,'Indicator Data (national)'!$B$5:$BB$14,45,FALSE)="No data","x",IF(VLOOKUP($B142,'Indicator Data (national)'!$B$5:$BB$14,45,FALSE)&gt;X$150,10,IF(VLOOKUP($B142,'Indicator Data (national)'!$B$5:$BB$14,45,FALSE)&lt;X$149,0,10-(X$150-VLOOKUP($B142,'Indicator Data (national)'!$B$5:$BB$14,45,FALSE))/(X$150-X$149)*10)))</f>
        <v>3.7777777777777777</v>
      </c>
      <c r="Y142" s="2">
        <f>IF(VLOOKUP($B142,'Indicator Data (national)'!$B$5:$BB$14,46,FALSE)="No data","x",IF(VLOOKUP($B142,'Indicator Data (national)'!$B$5:$BB$14,46,FALSE)&gt;Y$150,10,IF(VLOOKUP($B142,'Indicator Data (national)'!$B$5:$BB$14,46,FALSE)&lt;Y$149,0,(Y$150-VLOOKUP($B142,'Indicator Data (national)'!$B$5:$BB$14,46,FALSE))/(Y$150-Y$149)*10)))</f>
        <v>4.2</v>
      </c>
      <c r="Z142" s="156">
        <f>IF(VLOOKUP($B142,'Indicator Data (national)'!$B$5:$BB$14,48,FALSE)="No data","x",VLOOKUP($B142,'Indicator Data (national)'!$B$5:$BB$14,47,FALSE)*VLOOKUP($B142,'Indicator Data (national)'!$B$5:$BB$14,48,FALSE))</f>
        <v>12.598133134738728</v>
      </c>
      <c r="AA142" s="2">
        <f t="shared" si="47"/>
        <v>8.7401866865261262</v>
      </c>
      <c r="AB142" s="3">
        <f t="shared" si="48"/>
        <v>6.1989116448528341</v>
      </c>
      <c r="AC142" s="2">
        <f>IF(VLOOKUP($B142,'Indicator Data (national)'!$B$5:$BB$14,49,FALSE)="No data","x",IF(VLOOKUP($B142,'Indicator Data (national)'!$B$5:$BB$14,49,FALSE)&gt;AC$150,0,IF(VLOOKUP($B142,'Indicator Data (national)'!$B$5:$BB$14,49,FALSE)&lt;AC$149,10,(AC$150-VLOOKUP($B142,'Indicator Data (national)'!$B$5:$BB$14,49,FALSE))/(AC$150-AC$149)*10)))</f>
        <v>9.7080000000000002</v>
      </c>
      <c r="AD142" s="2">
        <f>IF(VLOOKUP($B142,'Indicator Data (national)'!$B$5:$BB$14,50,FALSE)="No data","x",IF(VLOOKUP($B142,'Indicator Data (national)'!$B$5:$BB$14,50,FALSE)&gt;AD$150,0,IF(VLOOKUP($B142,'Indicator Data (national)'!$B$5:$BB$14,50,FALSE)&lt;AD$149,10,(AD$150-VLOOKUP($B142,'Indicator Data (national)'!$B$5:$BB$14,50,FALSE))/(AD$150-AD$149)*10)))</f>
        <v>9.8327999999999989</v>
      </c>
      <c r="AE142" s="3">
        <f t="shared" si="49"/>
        <v>9.7703999999999986</v>
      </c>
      <c r="AF142" s="2">
        <f>IF(VLOOKUP($B142,'Indicator Data (national)'!$B$5:$BB$14,51,FALSE)="No data","x",IF(VLOOKUP($B142,'Indicator Data (national)'!$B$5:$BB$14,51,FALSE)&gt;AF$150,0,IF(VLOOKUP($B142,'Indicator Data (national)'!$B$5:$BB$14,51,FALSE)&lt;AF$149,10,(AF$150-VLOOKUP($B142,'Indicator Data (national)'!$B$5:$BB$14,51,FALSE))/(AF$150-AF$149)*10)))</f>
        <v>7.5200579653028035</v>
      </c>
      <c r="AG142" s="2">
        <f>IF(VLOOKUP($B142,'Indicator Data (national)'!$B$5:$BB$14,52,FALSE)="No data","x",IF(VLOOKUP($B142,'Indicator Data (national)'!$B$5:$BB$14,52,FALSE)&gt;AG$150,0,IF(VLOOKUP($B142,'Indicator Data (national)'!$B$5:$BB$14,52,FALSE)&lt;AG$149,10,(AG$150-VLOOKUP($B142,'Indicator Data (national)'!$B$5:$BB$14,52,FALSE))/(AG$150-AG$149)*10)))</f>
        <v>4.9663519999999997</v>
      </c>
      <c r="AH142" s="2">
        <f>IF(VLOOKUP($B142,'Indicator Data (national)'!$B$5:$BB$14,53,FALSE)="No data","x",IF(VLOOKUP($B142,'Indicator Data (national)'!$B$5:$BB$14,53,FALSE)&gt;AH$150,0,IF(VLOOKUP($B142,'Indicator Data (national)'!$B$5:$BB$14,53,FALSE)&lt;AH$149,10,(AH$150-VLOOKUP($B142,'Indicator Data (national)'!$B$5:$BB$14,53,FALSE))/(AH$150-AH$149)*10)))</f>
        <v>1.3316553873052239</v>
      </c>
      <c r="AI142" s="3">
        <f t="shared" si="50"/>
        <v>4.6060217842026754</v>
      </c>
      <c r="AJ142" s="5">
        <f t="shared" si="38"/>
        <v>6.8584444763518357</v>
      </c>
    </row>
    <row r="143" spans="1:36" x14ac:dyDescent="0.25">
      <c r="A143" s="16" t="s">
        <v>565</v>
      </c>
      <c r="B143" s="11" t="s">
        <v>581</v>
      </c>
      <c r="C143" s="126" t="s">
        <v>611</v>
      </c>
      <c r="D143" s="120">
        <f>(VLOOKUP($B143,'Indicator Data (national)'!$B$5:$AP$14,39,FALSE)+VLOOKUP($B143,'Indicator Data (national)'!$B$5:$AP$14,40,FALSE)+VLOOKUP($B143,'Indicator Data (national)'!$B$5:$AP$14,41,FALSE))/VLOOKUP($B143,'Indicator Data (national)'!$B$5:$AP$14,38,FALSE)*1000000</f>
        <v>0.70172402176158777</v>
      </c>
      <c r="E143" s="2">
        <f t="shared" si="39"/>
        <v>6.4913798911920617</v>
      </c>
      <c r="F143" s="3">
        <f t="shared" si="40"/>
        <v>6.4913798911920617</v>
      </c>
      <c r="G143" s="2">
        <f>IF(VLOOKUP($B143,'Indicator Data (national)'!$B$5:$AQ$14,30,FALSE)="No data","x",IF(VLOOKUP($B143,'Indicator Data (national)'!$B$5:$AQ$14,30,FALSE)&gt;G$150,10,IF(VLOOKUP($B143,'Indicator Data (national)'!$B$5:$AQ$14,30,FALSE)&lt;G$149,0,(G$150-VLOOKUP($B143,'Indicator Data (national)'!$B$5:$AQ$14,30,FALSE))/(G$150-G$149)*10)))</f>
        <v>7.4</v>
      </c>
      <c r="H143" s="2">
        <f>IF(VLOOKUP($B143,'Indicator Data (national)'!$B$5:$AQ$14,29,FALSE)="No data","x",IF(VLOOKUP($B143,'Indicator Data (national)'!$B$5:$AQ$14,29,FALSE)&gt;H$150,10,IF(VLOOKUP($B143,'Indicator Data (national)'!$B$5:$AQ$14,29,FALSE)&lt;H$149,0,(H$150-VLOOKUP($B143,'Indicator Data (national)'!$B$5:$AQ$14,29,FALSE))/(H$150-H$149)*10)))</f>
        <v>6.1603480577468872</v>
      </c>
      <c r="I143" s="3">
        <f t="shared" si="41"/>
        <v>6.7801740288734438</v>
      </c>
      <c r="J143" s="5">
        <f t="shared" si="42"/>
        <v>6.6357769600327527</v>
      </c>
      <c r="K143" s="2">
        <f>IF(VLOOKUP($B143,'Indicator Data (national)'!$B$5:$AQ$14,33,FALSE)="No data","x",IF(VLOOKUP($B143,'Indicator Data (national)'!$B$5:$AQ$14,33,FALSE)&gt;K$150,10,IF(VLOOKUP($B143,'Indicator Data (national)'!$B$5:$AQ$14,33,FALSE)&lt;K$149,0,(K$150-VLOOKUP($B143,'Indicator Data (national)'!$B$5:$AQ$14,33,FALSE))/(K$150-K$149)*10)))</f>
        <v>6.76</v>
      </c>
      <c r="L143" s="2">
        <f>IF(VLOOKUP($B143,'Indicator Data (national)'!$B$5:$AQ$14,34,FALSE)="No data","x",IF(VLOOKUP($B143,'Indicator Data (national)'!$B$5:$AQ$14,34,FALSE)&gt;L$150,10,IF(VLOOKUP($B143,'Indicator Data (national)'!$B$5:$AQ$14,34,FALSE)&lt;L$149,0,(L$150-VLOOKUP($B143,'Indicator Data (national)'!$B$5:$AQ$14,34,FALSE))/(L$150-L$149)*10)))</f>
        <v>5.5909309261937503</v>
      </c>
      <c r="M143" s="3">
        <f t="shared" si="43"/>
        <v>6.1754654630968755</v>
      </c>
      <c r="N143" s="2">
        <f>IF(VLOOKUP($B143,'Indicator Data (national)'!$B$5:$AS$14,44,FALSE)="No data","x",IF(VLOOKUP($B143,'Indicator Data (national)'!$B$5:$AS$14,44,FALSE)&gt;N$150,10,IF(VLOOKUP($B143,'Indicator Data (national)'!$B$5:$AS$14,44,FALSE)&lt;N$149,0,10-(N$150-VLOOKUP($B143,'Indicator Data (national)'!$B$5:$AS$14,44,FALSE))/(N$150-N$149)*10)))</f>
        <v>5.1111111111111116</v>
      </c>
      <c r="O143" s="2">
        <f>IF(VLOOKUP($B143,'Indicator Data (national)'!$B$5:$AS$14,42,FALSE)="No data","x",IF(VLOOKUP($B143,'Indicator Data (national)'!$B$5:$AS$14,42,FALSE)&gt;O$150,0,IF(VLOOKUP($B143,'Indicator Data (national)'!$B$5:$AS$14,42,FALSE)&lt;O$149,10,(O$150-VLOOKUP($B143,'Indicator Data (national)'!$B$5:$AS$14,42,FALSE))/(O$150-O$149)*10)))</f>
        <v>8.1208053691275168</v>
      </c>
      <c r="P143" s="158">
        <f t="shared" si="44"/>
        <v>6.6159582401193138</v>
      </c>
      <c r="Q143" s="2">
        <f>IF(VLOOKUP($B143,'Indicator Data (national)'!$B$5:$Q$14,16,FALSE)="No data","x",IF(VLOOKUP($B143,'Indicator Data (national)'!$B$5:$Q$14,16,FALSE)&gt;Q$150,0,IF(VLOOKUP($B143,'Indicator Data (national)'!$B$5:$Q$14,16,FALSE)&lt;Q$149,10,(Q$150-VLOOKUP($B143,'Indicator Data (national)'!$B$5:$Q$14,16,FALSE))/(Q$150-Q$149)*10)))</f>
        <v>8.8000000000000007</v>
      </c>
      <c r="R143" s="158">
        <f t="shared" si="45"/>
        <v>8.8000000000000007</v>
      </c>
      <c r="S143" s="3">
        <f t="shared" si="36"/>
        <v>7.7079791200596572</v>
      </c>
      <c r="T143" s="2">
        <f>IF(VLOOKUP($B143,'Indicator Data (national)'!$B$5:$BC$14,43,FALSE)="No data","x",IF(VLOOKUP($B143,'Indicator Data (national)'!$B$5:$BC$14,43,FALSE)&gt;T$150,10,IF(VLOOKUP($B143,'Indicator Data (national)'!$B$5:$BC$14,43,FALSE)&lt;T$149,0,(T$150-VLOOKUP($B143,'Indicator Data (national)'!$B$5:$BC$14,43,FALSE))/(T$150-T$149)*10)))</f>
        <v>6.94</v>
      </c>
      <c r="U143" s="3">
        <f t="shared" si="46"/>
        <v>6.94</v>
      </c>
      <c r="V143" s="5">
        <f t="shared" si="37"/>
        <v>6.9411481943855113</v>
      </c>
      <c r="W143" s="2">
        <f>IF(VLOOKUP($B143,'Indicator Data (national)'!$B$5:$AS$14,37,FALSE)="No data","x",IF(VLOOKUP($B143,'Indicator Data (national)'!$B$5:$AS$14,37,FALSE)&gt;W$150,10,IF(VLOOKUP($B143,'Indicator Data (national)'!$B$5:$AS$14,37,FALSE)&lt;W$149,0,(LOG(W$150)-LOG(VLOOKUP($B143,'Indicator Data (national)'!$B$5:$AS$14,37,FALSE)))/(LOG(W$150)-LOG(W$149))*10)))</f>
        <v>8.0776821151074323</v>
      </c>
      <c r="X143" s="2">
        <f>IF(VLOOKUP($B143,'Indicator Data (national)'!$B$5:$BB$14,45,FALSE)="No data","x",IF(VLOOKUP($B143,'Indicator Data (national)'!$B$5:$BB$14,45,FALSE)&gt;X$150,10,IF(VLOOKUP($B143,'Indicator Data (national)'!$B$5:$BB$14,45,FALSE)&lt;X$149,0,10-(X$150-VLOOKUP($B143,'Indicator Data (national)'!$B$5:$BB$14,45,FALSE))/(X$150-X$149)*10)))</f>
        <v>3.7777777777777777</v>
      </c>
      <c r="Y143" s="2">
        <f>IF(VLOOKUP($B143,'Indicator Data (national)'!$B$5:$BB$14,46,FALSE)="No data","x",IF(VLOOKUP($B143,'Indicator Data (national)'!$B$5:$BB$14,46,FALSE)&gt;Y$150,10,IF(VLOOKUP($B143,'Indicator Data (national)'!$B$5:$BB$14,46,FALSE)&lt;Y$149,0,(Y$150-VLOOKUP($B143,'Indicator Data (national)'!$B$5:$BB$14,46,FALSE))/(Y$150-Y$149)*10)))</f>
        <v>4.2</v>
      </c>
      <c r="Z143" s="156">
        <f>IF(VLOOKUP($B143,'Indicator Data (national)'!$B$5:$BB$14,48,FALSE)="No data","x",VLOOKUP($B143,'Indicator Data (national)'!$B$5:$BB$14,47,FALSE)*VLOOKUP($B143,'Indicator Data (national)'!$B$5:$BB$14,48,FALSE))</f>
        <v>12.598133134738728</v>
      </c>
      <c r="AA143" s="2">
        <f t="shared" si="47"/>
        <v>8.7401866865261262</v>
      </c>
      <c r="AB143" s="3">
        <f t="shared" si="48"/>
        <v>6.1989116448528341</v>
      </c>
      <c r="AC143" s="2">
        <f>IF(VLOOKUP($B143,'Indicator Data (national)'!$B$5:$BB$14,49,FALSE)="No data","x",IF(VLOOKUP($B143,'Indicator Data (national)'!$B$5:$BB$14,49,FALSE)&gt;AC$150,0,IF(VLOOKUP($B143,'Indicator Data (national)'!$B$5:$BB$14,49,FALSE)&lt;AC$149,10,(AC$150-VLOOKUP($B143,'Indicator Data (national)'!$B$5:$BB$14,49,FALSE))/(AC$150-AC$149)*10)))</f>
        <v>9.7080000000000002</v>
      </c>
      <c r="AD143" s="2">
        <f>IF(VLOOKUP($B143,'Indicator Data (national)'!$B$5:$BB$14,50,FALSE)="No data","x",IF(VLOOKUP($B143,'Indicator Data (national)'!$B$5:$BB$14,50,FALSE)&gt;AD$150,0,IF(VLOOKUP($B143,'Indicator Data (national)'!$B$5:$BB$14,50,FALSE)&lt;AD$149,10,(AD$150-VLOOKUP($B143,'Indicator Data (national)'!$B$5:$BB$14,50,FALSE))/(AD$150-AD$149)*10)))</f>
        <v>9.8327999999999989</v>
      </c>
      <c r="AE143" s="3">
        <f t="shared" si="49"/>
        <v>9.7703999999999986</v>
      </c>
      <c r="AF143" s="2">
        <f>IF(VLOOKUP($B143,'Indicator Data (national)'!$B$5:$BB$14,51,FALSE)="No data","x",IF(VLOOKUP($B143,'Indicator Data (national)'!$B$5:$BB$14,51,FALSE)&gt;AF$150,0,IF(VLOOKUP($B143,'Indicator Data (national)'!$B$5:$BB$14,51,FALSE)&lt;AF$149,10,(AF$150-VLOOKUP($B143,'Indicator Data (national)'!$B$5:$BB$14,51,FALSE))/(AF$150-AF$149)*10)))</f>
        <v>7.5200579653028035</v>
      </c>
      <c r="AG143" s="2">
        <f>IF(VLOOKUP($B143,'Indicator Data (national)'!$B$5:$BB$14,52,FALSE)="No data","x",IF(VLOOKUP($B143,'Indicator Data (national)'!$B$5:$BB$14,52,FALSE)&gt;AG$150,0,IF(VLOOKUP($B143,'Indicator Data (national)'!$B$5:$BB$14,52,FALSE)&lt;AG$149,10,(AG$150-VLOOKUP($B143,'Indicator Data (national)'!$B$5:$BB$14,52,FALSE))/(AG$150-AG$149)*10)))</f>
        <v>4.9663519999999997</v>
      </c>
      <c r="AH143" s="2">
        <f>IF(VLOOKUP($B143,'Indicator Data (national)'!$B$5:$BB$14,53,FALSE)="No data","x",IF(VLOOKUP($B143,'Indicator Data (national)'!$B$5:$BB$14,53,FALSE)&gt;AH$150,0,IF(VLOOKUP($B143,'Indicator Data (national)'!$B$5:$BB$14,53,FALSE)&lt;AH$149,10,(AH$150-VLOOKUP($B143,'Indicator Data (national)'!$B$5:$BB$14,53,FALSE))/(AH$150-AH$149)*10)))</f>
        <v>1.3316553873052239</v>
      </c>
      <c r="AI143" s="3">
        <f t="shared" si="50"/>
        <v>4.6060217842026754</v>
      </c>
      <c r="AJ143" s="5">
        <f t="shared" si="38"/>
        <v>6.8584444763518357</v>
      </c>
    </row>
    <row r="144" spans="1:36" x14ac:dyDescent="0.25">
      <c r="A144" s="16" t="s">
        <v>566</v>
      </c>
      <c r="B144" s="11" t="s">
        <v>581</v>
      </c>
      <c r="C144" s="126" t="s">
        <v>612</v>
      </c>
      <c r="D144" s="120">
        <f>(VLOOKUP($B144,'Indicator Data (national)'!$B$5:$AP$14,39,FALSE)+VLOOKUP($B144,'Indicator Data (national)'!$B$5:$AP$14,40,FALSE)+VLOOKUP($B144,'Indicator Data (national)'!$B$5:$AP$14,41,FALSE))/VLOOKUP($B144,'Indicator Data (national)'!$B$5:$AP$14,38,FALSE)*1000000</f>
        <v>0.70172402176158777</v>
      </c>
      <c r="E144" s="2">
        <f t="shared" si="39"/>
        <v>6.4913798911920617</v>
      </c>
      <c r="F144" s="3">
        <f t="shared" si="40"/>
        <v>6.4913798911920617</v>
      </c>
      <c r="G144" s="2">
        <f>IF(VLOOKUP($B144,'Indicator Data (national)'!$B$5:$AQ$14,30,FALSE)="No data","x",IF(VLOOKUP($B144,'Indicator Data (national)'!$B$5:$AQ$14,30,FALSE)&gt;G$150,10,IF(VLOOKUP($B144,'Indicator Data (national)'!$B$5:$AQ$14,30,FALSE)&lt;G$149,0,(G$150-VLOOKUP($B144,'Indicator Data (national)'!$B$5:$AQ$14,30,FALSE))/(G$150-G$149)*10)))</f>
        <v>7.4</v>
      </c>
      <c r="H144" s="2">
        <f>IF(VLOOKUP($B144,'Indicator Data (national)'!$B$5:$AQ$14,29,FALSE)="No data","x",IF(VLOOKUP($B144,'Indicator Data (national)'!$B$5:$AQ$14,29,FALSE)&gt;H$150,10,IF(VLOOKUP($B144,'Indicator Data (national)'!$B$5:$AQ$14,29,FALSE)&lt;H$149,0,(H$150-VLOOKUP($B144,'Indicator Data (national)'!$B$5:$AQ$14,29,FALSE))/(H$150-H$149)*10)))</f>
        <v>6.1603480577468872</v>
      </c>
      <c r="I144" s="3">
        <f t="shared" si="41"/>
        <v>6.7801740288734438</v>
      </c>
      <c r="J144" s="5">
        <f t="shared" si="42"/>
        <v>6.6357769600327527</v>
      </c>
      <c r="K144" s="2">
        <f>IF(VLOOKUP($B144,'Indicator Data (national)'!$B$5:$AQ$14,33,FALSE)="No data","x",IF(VLOOKUP($B144,'Indicator Data (national)'!$B$5:$AQ$14,33,FALSE)&gt;K$150,10,IF(VLOOKUP($B144,'Indicator Data (national)'!$B$5:$AQ$14,33,FALSE)&lt;K$149,0,(K$150-VLOOKUP($B144,'Indicator Data (national)'!$B$5:$AQ$14,33,FALSE))/(K$150-K$149)*10)))</f>
        <v>6.76</v>
      </c>
      <c r="L144" s="2">
        <f>IF(VLOOKUP($B144,'Indicator Data (national)'!$B$5:$AQ$14,34,FALSE)="No data","x",IF(VLOOKUP($B144,'Indicator Data (national)'!$B$5:$AQ$14,34,FALSE)&gt;L$150,10,IF(VLOOKUP($B144,'Indicator Data (national)'!$B$5:$AQ$14,34,FALSE)&lt;L$149,0,(L$150-VLOOKUP($B144,'Indicator Data (national)'!$B$5:$AQ$14,34,FALSE))/(L$150-L$149)*10)))</f>
        <v>5.5909309261937503</v>
      </c>
      <c r="M144" s="3">
        <f t="shared" si="43"/>
        <v>6.1754654630968755</v>
      </c>
      <c r="N144" s="2">
        <f>IF(VLOOKUP($B144,'Indicator Data (national)'!$B$5:$AS$14,44,FALSE)="No data","x",IF(VLOOKUP($B144,'Indicator Data (national)'!$B$5:$AS$14,44,FALSE)&gt;N$150,10,IF(VLOOKUP($B144,'Indicator Data (national)'!$B$5:$AS$14,44,FALSE)&lt;N$149,0,10-(N$150-VLOOKUP($B144,'Indicator Data (national)'!$B$5:$AS$14,44,FALSE))/(N$150-N$149)*10)))</f>
        <v>5.1111111111111116</v>
      </c>
      <c r="O144" s="2">
        <f>IF(VLOOKUP($B144,'Indicator Data (national)'!$B$5:$AS$14,42,FALSE)="No data","x",IF(VLOOKUP($B144,'Indicator Data (national)'!$B$5:$AS$14,42,FALSE)&gt;O$150,0,IF(VLOOKUP($B144,'Indicator Data (national)'!$B$5:$AS$14,42,FALSE)&lt;O$149,10,(O$150-VLOOKUP($B144,'Indicator Data (national)'!$B$5:$AS$14,42,FALSE))/(O$150-O$149)*10)))</f>
        <v>8.1208053691275168</v>
      </c>
      <c r="P144" s="158">
        <f t="shared" si="44"/>
        <v>6.6159582401193138</v>
      </c>
      <c r="Q144" s="2">
        <f>IF(VLOOKUP($B144,'Indicator Data (national)'!$B$5:$Q$14,16,FALSE)="No data","x",IF(VLOOKUP($B144,'Indicator Data (national)'!$B$5:$Q$14,16,FALSE)&gt;Q$150,0,IF(VLOOKUP($B144,'Indicator Data (national)'!$B$5:$Q$14,16,FALSE)&lt;Q$149,10,(Q$150-VLOOKUP($B144,'Indicator Data (national)'!$B$5:$Q$14,16,FALSE))/(Q$150-Q$149)*10)))</f>
        <v>8.8000000000000007</v>
      </c>
      <c r="R144" s="158">
        <f t="shared" si="45"/>
        <v>8.8000000000000007</v>
      </c>
      <c r="S144" s="3">
        <f t="shared" si="36"/>
        <v>7.7079791200596572</v>
      </c>
      <c r="T144" s="2">
        <f>IF(VLOOKUP($B144,'Indicator Data (national)'!$B$5:$BC$14,43,FALSE)="No data","x",IF(VLOOKUP($B144,'Indicator Data (national)'!$B$5:$BC$14,43,FALSE)&gt;T$150,10,IF(VLOOKUP($B144,'Indicator Data (national)'!$B$5:$BC$14,43,FALSE)&lt;T$149,0,(T$150-VLOOKUP($B144,'Indicator Data (national)'!$B$5:$BC$14,43,FALSE))/(T$150-T$149)*10)))</f>
        <v>6.94</v>
      </c>
      <c r="U144" s="3">
        <f t="shared" si="46"/>
        <v>6.94</v>
      </c>
      <c r="V144" s="5">
        <f t="shared" si="37"/>
        <v>6.9411481943855113</v>
      </c>
      <c r="W144" s="2">
        <f>IF(VLOOKUP($B144,'Indicator Data (national)'!$B$5:$AS$14,37,FALSE)="No data","x",IF(VLOOKUP($B144,'Indicator Data (national)'!$B$5:$AS$14,37,FALSE)&gt;W$150,10,IF(VLOOKUP($B144,'Indicator Data (national)'!$B$5:$AS$14,37,FALSE)&lt;W$149,0,(LOG(W$150)-LOG(VLOOKUP($B144,'Indicator Data (national)'!$B$5:$AS$14,37,FALSE)))/(LOG(W$150)-LOG(W$149))*10)))</f>
        <v>8.0776821151074323</v>
      </c>
      <c r="X144" s="2">
        <f>IF(VLOOKUP($B144,'Indicator Data (national)'!$B$5:$BB$14,45,FALSE)="No data","x",IF(VLOOKUP($B144,'Indicator Data (national)'!$B$5:$BB$14,45,FALSE)&gt;X$150,10,IF(VLOOKUP($B144,'Indicator Data (national)'!$B$5:$BB$14,45,FALSE)&lt;X$149,0,10-(X$150-VLOOKUP($B144,'Indicator Data (national)'!$B$5:$BB$14,45,FALSE))/(X$150-X$149)*10)))</f>
        <v>3.7777777777777777</v>
      </c>
      <c r="Y144" s="2">
        <f>IF(VLOOKUP($B144,'Indicator Data (national)'!$B$5:$BB$14,46,FALSE)="No data","x",IF(VLOOKUP($B144,'Indicator Data (national)'!$B$5:$BB$14,46,FALSE)&gt;Y$150,10,IF(VLOOKUP($B144,'Indicator Data (national)'!$B$5:$BB$14,46,FALSE)&lt;Y$149,0,(Y$150-VLOOKUP($B144,'Indicator Data (national)'!$B$5:$BB$14,46,FALSE))/(Y$150-Y$149)*10)))</f>
        <v>4.2</v>
      </c>
      <c r="Z144" s="156">
        <f>IF(VLOOKUP($B144,'Indicator Data (national)'!$B$5:$BB$14,48,FALSE)="No data","x",VLOOKUP($B144,'Indicator Data (national)'!$B$5:$BB$14,47,FALSE)*VLOOKUP($B144,'Indicator Data (national)'!$B$5:$BB$14,48,FALSE))</f>
        <v>12.598133134738728</v>
      </c>
      <c r="AA144" s="2">
        <f t="shared" si="47"/>
        <v>8.7401866865261262</v>
      </c>
      <c r="AB144" s="3">
        <f t="shared" si="48"/>
        <v>6.1989116448528341</v>
      </c>
      <c r="AC144" s="2">
        <f>IF(VLOOKUP($B144,'Indicator Data (national)'!$B$5:$BB$14,49,FALSE)="No data","x",IF(VLOOKUP($B144,'Indicator Data (national)'!$B$5:$BB$14,49,FALSE)&gt;AC$150,0,IF(VLOOKUP($B144,'Indicator Data (national)'!$B$5:$BB$14,49,FALSE)&lt;AC$149,10,(AC$150-VLOOKUP($B144,'Indicator Data (national)'!$B$5:$BB$14,49,FALSE))/(AC$150-AC$149)*10)))</f>
        <v>9.7080000000000002</v>
      </c>
      <c r="AD144" s="2">
        <f>IF(VLOOKUP($B144,'Indicator Data (national)'!$B$5:$BB$14,50,FALSE)="No data","x",IF(VLOOKUP($B144,'Indicator Data (national)'!$B$5:$BB$14,50,FALSE)&gt;AD$150,0,IF(VLOOKUP($B144,'Indicator Data (national)'!$B$5:$BB$14,50,FALSE)&lt;AD$149,10,(AD$150-VLOOKUP($B144,'Indicator Data (national)'!$B$5:$BB$14,50,FALSE))/(AD$150-AD$149)*10)))</f>
        <v>9.8327999999999989</v>
      </c>
      <c r="AE144" s="3">
        <f t="shared" si="49"/>
        <v>9.7703999999999986</v>
      </c>
      <c r="AF144" s="2">
        <f>IF(VLOOKUP($B144,'Indicator Data (national)'!$B$5:$BB$14,51,FALSE)="No data","x",IF(VLOOKUP($B144,'Indicator Data (national)'!$B$5:$BB$14,51,FALSE)&gt;AF$150,0,IF(VLOOKUP($B144,'Indicator Data (national)'!$B$5:$BB$14,51,FALSE)&lt;AF$149,10,(AF$150-VLOOKUP($B144,'Indicator Data (national)'!$B$5:$BB$14,51,FALSE))/(AF$150-AF$149)*10)))</f>
        <v>7.5200579653028035</v>
      </c>
      <c r="AG144" s="2">
        <f>IF(VLOOKUP($B144,'Indicator Data (national)'!$B$5:$BB$14,52,FALSE)="No data","x",IF(VLOOKUP($B144,'Indicator Data (national)'!$B$5:$BB$14,52,FALSE)&gt;AG$150,0,IF(VLOOKUP($B144,'Indicator Data (national)'!$B$5:$BB$14,52,FALSE)&lt;AG$149,10,(AG$150-VLOOKUP($B144,'Indicator Data (national)'!$B$5:$BB$14,52,FALSE))/(AG$150-AG$149)*10)))</f>
        <v>4.9663519999999997</v>
      </c>
      <c r="AH144" s="2">
        <f>IF(VLOOKUP($B144,'Indicator Data (national)'!$B$5:$BB$14,53,FALSE)="No data","x",IF(VLOOKUP($B144,'Indicator Data (national)'!$B$5:$BB$14,53,FALSE)&gt;AH$150,0,IF(VLOOKUP($B144,'Indicator Data (national)'!$B$5:$BB$14,53,FALSE)&lt;AH$149,10,(AH$150-VLOOKUP($B144,'Indicator Data (national)'!$B$5:$BB$14,53,FALSE))/(AH$150-AH$149)*10)))</f>
        <v>1.3316553873052239</v>
      </c>
      <c r="AI144" s="3">
        <f t="shared" si="50"/>
        <v>4.6060217842026754</v>
      </c>
      <c r="AJ144" s="5">
        <f t="shared" si="38"/>
        <v>6.8584444763518357</v>
      </c>
    </row>
    <row r="145" spans="1:36" x14ac:dyDescent="0.25">
      <c r="A145" s="16" t="s">
        <v>567</v>
      </c>
      <c r="B145" s="11" t="s">
        <v>581</v>
      </c>
      <c r="C145" s="126" t="s">
        <v>613</v>
      </c>
      <c r="D145" s="120">
        <f>(VLOOKUP($B145,'Indicator Data (national)'!$B$5:$AP$14,39,FALSE)+VLOOKUP($B145,'Indicator Data (national)'!$B$5:$AP$14,40,FALSE)+VLOOKUP($B145,'Indicator Data (national)'!$B$5:$AP$14,41,FALSE))/VLOOKUP($B145,'Indicator Data (national)'!$B$5:$AP$14,38,FALSE)*1000000</f>
        <v>0.70172402176158777</v>
      </c>
      <c r="E145" s="2">
        <f t="shared" si="39"/>
        <v>6.4913798911920617</v>
      </c>
      <c r="F145" s="3">
        <f t="shared" si="40"/>
        <v>6.4913798911920617</v>
      </c>
      <c r="G145" s="2">
        <f>IF(VLOOKUP($B145,'Indicator Data (national)'!$B$5:$AQ$14,30,FALSE)="No data","x",IF(VLOOKUP($B145,'Indicator Data (national)'!$B$5:$AQ$14,30,FALSE)&gt;G$150,10,IF(VLOOKUP($B145,'Indicator Data (national)'!$B$5:$AQ$14,30,FALSE)&lt;G$149,0,(G$150-VLOOKUP($B145,'Indicator Data (national)'!$B$5:$AQ$14,30,FALSE))/(G$150-G$149)*10)))</f>
        <v>7.4</v>
      </c>
      <c r="H145" s="2">
        <f>IF(VLOOKUP($B145,'Indicator Data (national)'!$B$5:$AQ$14,29,FALSE)="No data","x",IF(VLOOKUP($B145,'Indicator Data (national)'!$B$5:$AQ$14,29,FALSE)&gt;H$150,10,IF(VLOOKUP($B145,'Indicator Data (national)'!$B$5:$AQ$14,29,FALSE)&lt;H$149,0,(H$150-VLOOKUP($B145,'Indicator Data (national)'!$B$5:$AQ$14,29,FALSE))/(H$150-H$149)*10)))</f>
        <v>6.1603480577468872</v>
      </c>
      <c r="I145" s="3">
        <f t="shared" si="41"/>
        <v>6.7801740288734438</v>
      </c>
      <c r="J145" s="5">
        <f t="shared" si="42"/>
        <v>6.6357769600327527</v>
      </c>
      <c r="K145" s="2">
        <f>IF(VLOOKUP($B145,'Indicator Data (national)'!$B$5:$AQ$14,33,FALSE)="No data","x",IF(VLOOKUP($B145,'Indicator Data (national)'!$B$5:$AQ$14,33,FALSE)&gt;K$150,10,IF(VLOOKUP($B145,'Indicator Data (national)'!$B$5:$AQ$14,33,FALSE)&lt;K$149,0,(K$150-VLOOKUP($B145,'Indicator Data (national)'!$B$5:$AQ$14,33,FALSE))/(K$150-K$149)*10)))</f>
        <v>6.76</v>
      </c>
      <c r="L145" s="2">
        <f>IF(VLOOKUP($B145,'Indicator Data (national)'!$B$5:$AQ$14,34,FALSE)="No data","x",IF(VLOOKUP($B145,'Indicator Data (national)'!$B$5:$AQ$14,34,FALSE)&gt;L$150,10,IF(VLOOKUP($B145,'Indicator Data (national)'!$B$5:$AQ$14,34,FALSE)&lt;L$149,0,(L$150-VLOOKUP($B145,'Indicator Data (national)'!$B$5:$AQ$14,34,FALSE))/(L$150-L$149)*10)))</f>
        <v>5.5909309261937503</v>
      </c>
      <c r="M145" s="3">
        <f t="shared" si="43"/>
        <v>6.1754654630968755</v>
      </c>
      <c r="N145" s="2">
        <f>IF(VLOOKUP($B145,'Indicator Data (national)'!$B$5:$AS$14,44,FALSE)="No data","x",IF(VLOOKUP($B145,'Indicator Data (national)'!$B$5:$AS$14,44,FALSE)&gt;N$150,10,IF(VLOOKUP($B145,'Indicator Data (national)'!$B$5:$AS$14,44,FALSE)&lt;N$149,0,10-(N$150-VLOOKUP($B145,'Indicator Data (national)'!$B$5:$AS$14,44,FALSE))/(N$150-N$149)*10)))</f>
        <v>5.1111111111111116</v>
      </c>
      <c r="O145" s="2">
        <f>IF(VLOOKUP($B145,'Indicator Data (national)'!$B$5:$AS$14,42,FALSE)="No data","x",IF(VLOOKUP($B145,'Indicator Data (national)'!$B$5:$AS$14,42,FALSE)&gt;O$150,0,IF(VLOOKUP($B145,'Indicator Data (national)'!$B$5:$AS$14,42,FALSE)&lt;O$149,10,(O$150-VLOOKUP($B145,'Indicator Data (national)'!$B$5:$AS$14,42,FALSE))/(O$150-O$149)*10)))</f>
        <v>8.1208053691275168</v>
      </c>
      <c r="P145" s="158">
        <f t="shared" si="44"/>
        <v>6.6159582401193138</v>
      </c>
      <c r="Q145" s="2">
        <f>IF(VLOOKUP($B145,'Indicator Data (national)'!$B$5:$Q$14,16,FALSE)="No data","x",IF(VLOOKUP($B145,'Indicator Data (national)'!$B$5:$Q$14,16,FALSE)&gt;Q$150,0,IF(VLOOKUP($B145,'Indicator Data (national)'!$B$5:$Q$14,16,FALSE)&lt;Q$149,10,(Q$150-VLOOKUP($B145,'Indicator Data (national)'!$B$5:$Q$14,16,FALSE))/(Q$150-Q$149)*10)))</f>
        <v>8.8000000000000007</v>
      </c>
      <c r="R145" s="158">
        <f t="shared" si="45"/>
        <v>8.8000000000000007</v>
      </c>
      <c r="S145" s="3">
        <f t="shared" si="36"/>
        <v>7.7079791200596572</v>
      </c>
      <c r="T145" s="2">
        <f>IF(VLOOKUP($B145,'Indicator Data (national)'!$B$5:$BC$14,43,FALSE)="No data","x",IF(VLOOKUP($B145,'Indicator Data (national)'!$B$5:$BC$14,43,FALSE)&gt;T$150,10,IF(VLOOKUP($B145,'Indicator Data (national)'!$B$5:$BC$14,43,FALSE)&lt;T$149,0,(T$150-VLOOKUP($B145,'Indicator Data (national)'!$B$5:$BC$14,43,FALSE))/(T$150-T$149)*10)))</f>
        <v>6.94</v>
      </c>
      <c r="U145" s="3">
        <f t="shared" si="46"/>
        <v>6.94</v>
      </c>
      <c r="V145" s="5">
        <f t="shared" si="37"/>
        <v>6.9411481943855113</v>
      </c>
      <c r="W145" s="2">
        <f>IF(VLOOKUP($B145,'Indicator Data (national)'!$B$5:$AS$14,37,FALSE)="No data","x",IF(VLOOKUP($B145,'Indicator Data (national)'!$B$5:$AS$14,37,FALSE)&gt;W$150,10,IF(VLOOKUP($B145,'Indicator Data (national)'!$B$5:$AS$14,37,FALSE)&lt;W$149,0,(LOG(W$150)-LOG(VLOOKUP($B145,'Indicator Data (national)'!$B$5:$AS$14,37,FALSE)))/(LOG(W$150)-LOG(W$149))*10)))</f>
        <v>8.0776821151074323</v>
      </c>
      <c r="X145" s="2">
        <f>IF(VLOOKUP($B145,'Indicator Data (national)'!$B$5:$BB$14,45,FALSE)="No data","x",IF(VLOOKUP($B145,'Indicator Data (national)'!$B$5:$BB$14,45,FALSE)&gt;X$150,10,IF(VLOOKUP($B145,'Indicator Data (national)'!$B$5:$BB$14,45,FALSE)&lt;X$149,0,10-(X$150-VLOOKUP($B145,'Indicator Data (national)'!$B$5:$BB$14,45,FALSE))/(X$150-X$149)*10)))</f>
        <v>3.7777777777777777</v>
      </c>
      <c r="Y145" s="2">
        <f>IF(VLOOKUP($B145,'Indicator Data (national)'!$B$5:$BB$14,46,FALSE)="No data","x",IF(VLOOKUP($B145,'Indicator Data (national)'!$B$5:$BB$14,46,FALSE)&gt;Y$150,10,IF(VLOOKUP($B145,'Indicator Data (national)'!$B$5:$BB$14,46,FALSE)&lt;Y$149,0,(Y$150-VLOOKUP($B145,'Indicator Data (national)'!$B$5:$BB$14,46,FALSE))/(Y$150-Y$149)*10)))</f>
        <v>4.2</v>
      </c>
      <c r="Z145" s="156">
        <f>IF(VLOOKUP($B145,'Indicator Data (national)'!$B$5:$BB$14,48,FALSE)="No data","x",VLOOKUP($B145,'Indicator Data (national)'!$B$5:$BB$14,47,FALSE)*VLOOKUP($B145,'Indicator Data (national)'!$B$5:$BB$14,48,FALSE))</f>
        <v>12.598133134738728</v>
      </c>
      <c r="AA145" s="2">
        <f t="shared" si="47"/>
        <v>8.7401866865261262</v>
      </c>
      <c r="AB145" s="3">
        <f t="shared" si="48"/>
        <v>6.1989116448528341</v>
      </c>
      <c r="AC145" s="2">
        <f>IF(VLOOKUP($B145,'Indicator Data (national)'!$B$5:$BB$14,49,FALSE)="No data","x",IF(VLOOKUP($B145,'Indicator Data (national)'!$B$5:$BB$14,49,FALSE)&gt;AC$150,0,IF(VLOOKUP($B145,'Indicator Data (national)'!$B$5:$BB$14,49,FALSE)&lt;AC$149,10,(AC$150-VLOOKUP($B145,'Indicator Data (national)'!$B$5:$BB$14,49,FALSE))/(AC$150-AC$149)*10)))</f>
        <v>9.7080000000000002</v>
      </c>
      <c r="AD145" s="2">
        <f>IF(VLOOKUP($B145,'Indicator Data (national)'!$B$5:$BB$14,50,FALSE)="No data","x",IF(VLOOKUP($B145,'Indicator Data (national)'!$B$5:$BB$14,50,FALSE)&gt;AD$150,0,IF(VLOOKUP($B145,'Indicator Data (national)'!$B$5:$BB$14,50,FALSE)&lt;AD$149,10,(AD$150-VLOOKUP($B145,'Indicator Data (national)'!$B$5:$BB$14,50,FALSE))/(AD$150-AD$149)*10)))</f>
        <v>9.8327999999999989</v>
      </c>
      <c r="AE145" s="3">
        <f t="shared" si="49"/>
        <v>9.7703999999999986</v>
      </c>
      <c r="AF145" s="2">
        <f>IF(VLOOKUP($B145,'Indicator Data (national)'!$B$5:$BB$14,51,FALSE)="No data","x",IF(VLOOKUP($B145,'Indicator Data (national)'!$B$5:$BB$14,51,FALSE)&gt;AF$150,0,IF(VLOOKUP($B145,'Indicator Data (national)'!$B$5:$BB$14,51,FALSE)&lt;AF$149,10,(AF$150-VLOOKUP($B145,'Indicator Data (national)'!$B$5:$BB$14,51,FALSE))/(AF$150-AF$149)*10)))</f>
        <v>7.5200579653028035</v>
      </c>
      <c r="AG145" s="2">
        <f>IF(VLOOKUP($B145,'Indicator Data (national)'!$B$5:$BB$14,52,FALSE)="No data","x",IF(VLOOKUP($B145,'Indicator Data (national)'!$B$5:$BB$14,52,FALSE)&gt;AG$150,0,IF(VLOOKUP($B145,'Indicator Data (national)'!$B$5:$BB$14,52,FALSE)&lt;AG$149,10,(AG$150-VLOOKUP($B145,'Indicator Data (national)'!$B$5:$BB$14,52,FALSE))/(AG$150-AG$149)*10)))</f>
        <v>4.9663519999999997</v>
      </c>
      <c r="AH145" s="2">
        <f>IF(VLOOKUP($B145,'Indicator Data (national)'!$B$5:$BB$14,53,FALSE)="No data","x",IF(VLOOKUP($B145,'Indicator Data (national)'!$B$5:$BB$14,53,FALSE)&gt;AH$150,0,IF(VLOOKUP($B145,'Indicator Data (national)'!$B$5:$BB$14,53,FALSE)&lt;AH$149,10,(AH$150-VLOOKUP($B145,'Indicator Data (national)'!$B$5:$BB$14,53,FALSE))/(AH$150-AH$149)*10)))</f>
        <v>1.3316553873052239</v>
      </c>
      <c r="AI145" s="3">
        <f t="shared" si="50"/>
        <v>4.6060217842026754</v>
      </c>
      <c r="AJ145" s="5">
        <f t="shared" si="38"/>
        <v>6.8584444763518357</v>
      </c>
    </row>
    <row r="146" spans="1:36" x14ac:dyDescent="0.25">
      <c r="A146" s="16" t="s">
        <v>568</v>
      </c>
      <c r="B146" s="11" t="s">
        <v>581</v>
      </c>
      <c r="C146" s="126" t="s">
        <v>614</v>
      </c>
      <c r="D146" s="120">
        <f>(VLOOKUP($B146,'Indicator Data (national)'!$B$5:$AP$14,39,FALSE)+VLOOKUP($B146,'Indicator Data (national)'!$B$5:$AP$14,40,FALSE)+VLOOKUP($B146,'Indicator Data (national)'!$B$5:$AP$14,41,FALSE))/VLOOKUP($B146,'Indicator Data (national)'!$B$5:$AP$14,38,FALSE)*1000000</f>
        <v>0.70172402176158777</v>
      </c>
      <c r="E146" s="2">
        <f t="shared" si="39"/>
        <v>6.4913798911920617</v>
      </c>
      <c r="F146" s="3">
        <f t="shared" si="40"/>
        <v>6.4913798911920617</v>
      </c>
      <c r="G146" s="2">
        <f>IF(VLOOKUP($B146,'Indicator Data (national)'!$B$5:$AQ$14,30,FALSE)="No data","x",IF(VLOOKUP($B146,'Indicator Data (national)'!$B$5:$AQ$14,30,FALSE)&gt;G$150,10,IF(VLOOKUP($B146,'Indicator Data (national)'!$B$5:$AQ$14,30,FALSE)&lt;G$149,0,(G$150-VLOOKUP($B146,'Indicator Data (national)'!$B$5:$AQ$14,30,FALSE))/(G$150-G$149)*10)))</f>
        <v>7.4</v>
      </c>
      <c r="H146" s="2">
        <f>IF(VLOOKUP($B146,'Indicator Data (national)'!$B$5:$AQ$14,29,FALSE)="No data","x",IF(VLOOKUP($B146,'Indicator Data (national)'!$B$5:$AQ$14,29,FALSE)&gt;H$150,10,IF(VLOOKUP($B146,'Indicator Data (national)'!$B$5:$AQ$14,29,FALSE)&lt;H$149,0,(H$150-VLOOKUP($B146,'Indicator Data (national)'!$B$5:$AQ$14,29,FALSE))/(H$150-H$149)*10)))</f>
        <v>6.1603480577468872</v>
      </c>
      <c r="I146" s="3">
        <f t="shared" si="41"/>
        <v>6.7801740288734438</v>
      </c>
      <c r="J146" s="5">
        <f t="shared" si="42"/>
        <v>6.6357769600327527</v>
      </c>
      <c r="K146" s="2">
        <f>IF(VLOOKUP($B146,'Indicator Data (national)'!$B$5:$AQ$14,33,FALSE)="No data","x",IF(VLOOKUP($B146,'Indicator Data (national)'!$B$5:$AQ$14,33,FALSE)&gt;K$150,10,IF(VLOOKUP($B146,'Indicator Data (national)'!$B$5:$AQ$14,33,FALSE)&lt;K$149,0,(K$150-VLOOKUP($B146,'Indicator Data (national)'!$B$5:$AQ$14,33,FALSE))/(K$150-K$149)*10)))</f>
        <v>6.76</v>
      </c>
      <c r="L146" s="2">
        <f>IF(VLOOKUP($B146,'Indicator Data (national)'!$B$5:$AQ$14,34,FALSE)="No data","x",IF(VLOOKUP($B146,'Indicator Data (national)'!$B$5:$AQ$14,34,FALSE)&gt;L$150,10,IF(VLOOKUP($B146,'Indicator Data (national)'!$B$5:$AQ$14,34,FALSE)&lt;L$149,0,(L$150-VLOOKUP($B146,'Indicator Data (national)'!$B$5:$AQ$14,34,FALSE))/(L$150-L$149)*10)))</f>
        <v>5.5909309261937503</v>
      </c>
      <c r="M146" s="3">
        <f t="shared" si="43"/>
        <v>6.1754654630968755</v>
      </c>
      <c r="N146" s="2">
        <f>IF(VLOOKUP($B146,'Indicator Data (national)'!$B$5:$AS$14,44,FALSE)="No data","x",IF(VLOOKUP($B146,'Indicator Data (national)'!$B$5:$AS$14,44,FALSE)&gt;N$150,10,IF(VLOOKUP($B146,'Indicator Data (national)'!$B$5:$AS$14,44,FALSE)&lt;N$149,0,10-(N$150-VLOOKUP($B146,'Indicator Data (national)'!$B$5:$AS$14,44,FALSE))/(N$150-N$149)*10)))</f>
        <v>5.1111111111111116</v>
      </c>
      <c r="O146" s="2">
        <f>IF(VLOOKUP($B146,'Indicator Data (national)'!$B$5:$AS$14,42,FALSE)="No data","x",IF(VLOOKUP($B146,'Indicator Data (national)'!$B$5:$AS$14,42,FALSE)&gt;O$150,0,IF(VLOOKUP($B146,'Indicator Data (national)'!$B$5:$AS$14,42,FALSE)&lt;O$149,10,(O$150-VLOOKUP($B146,'Indicator Data (national)'!$B$5:$AS$14,42,FALSE))/(O$150-O$149)*10)))</f>
        <v>8.1208053691275168</v>
      </c>
      <c r="P146" s="158">
        <f t="shared" si="44"/>
        <v>6.6159582401193138</v>
      </c>
      <c r="Q146" s="2">
        <f>IF(VLOOKUP($B146,'Indicator Data (national)'!$B$5:$Q$14,16,FALSE)="No data","x",IF(VLOOKUP($B146,'Indicator Data (national)'!$B$5:$Q$14,16,FALSE)&gt;Q$150,0,IF(VLOOKUP($B146,'Indicator Data (national)'!$B$5:$Q$14,16,FALSE)&lt;Q$149,10,(Q$150-VLOOKUP($B146,'Indicator Data (national)'!$B$5:$Q$14,16,FALSE))/(Q$150-Q$149)*10)))</f>
        <v>8.8000000000000007</v>
      </c>
      <c r="R146" s="158">
        <f t="shared" si="45"/>
        <v>8.8000000000000007</v>
      </c>
      <c r="S146" s="3">
        <f t="shared" si="36"/>
        <v>7.7079791200596572</v>
      </c>
      <c r="T146" s="2">
        <f>IF(VLOOKUP($B146,'Indicator Data (national)'!$B$5:$BC$14,43,FALSE)="No data","x",IF(VLOOKUP($B146,'Indicator Data (national)'!$B$5:$BC$14,43,FALSE)&gt;T$150,10,IF(VLOOKUP($B146,'Indicator Data (national)'!$B$5:$BC$14,43,FALSE)&lt;T$149,0,(T$150-VLOOKUP($B146,'Indicator Data (national)'!$B$5:$BC$14,43,FALSE))/(T$150-T$149)*10)))</f>
        <v>6.94</v>
      </c>
      <c r="U146" s="3">
        <f t="shared" si="46"/>
        <v>6.94</v>
      </c>
      <c r="V146" s="5">
        <f t="shared" si="37"/>
        <v>6.9411481943855113</v>
      </c>
      <c r="W146" s="2">
        <f>IF(VLOOKUP($B146,'Indicator Data (national)'!$B$5:$AS$14,37,FALSE)="No data","x",IF(VLOOKUP($B146,'Indicator Data (national)'!$B$5:$AS$14,37,FALSE)&gt;W$150,10,IF(VLOOKUP($B146,'Indicator Data (national)'!$B$5:$AS$14,37,FALSE)&lt;W$149,0,(LOG(W$150)-LOG(VLOOKUP($B146,'Indicator Data (national)'!$B$5:$AS$14,37,FALSE)))/(LOG(W$150)-LOG(W$149))*10)))</f>
        <v>8.0776821151074323</v>
      </c>
      <c r="X146" s="2">
        <f>IF(VLOOKUP($B146,'Indicator Data (national)'!$B$5:$BB$14,45,FALSE)="No data","x",IF(VLOOKUP($B146,'Indicator Data (national)'!$B$5:$BB$14,45,FALSE)&gt;X$150,10,IF(VLOOKUP($B146,'Indicator Data (national)'!$B$5:$BB$14,45,FALSE)&lt;X$149,0,10-(X$150-VLOOKUP($B146,'Indicator Data (national)'!$B$5:$BB$14,45,FALSE))/(X$150-X$149)*10)))</f>
        <v>3.7777777777777777</v>
      </c>
      <c r="Y146" s="2">
        <f>IF(VLOOKUP($B146,'Indicator Data (national)'!$B$5:$BB$14,46,FALSE)="No data","x",IF(VLOOKUP($B146,'Indicator Data (national)'!$B$5:$BB$14,46,FALSE)&gt;Y$150,10,IF(VLOOKUP($B146,'Indicator Data (national)'!$B$5:$BB$14,46,FALSE)&lt;Y$149,0,(Y$150-VLOOKUP($B146,'Indicator Data (national)'!$B$5:$BB$14,46,FALSE))/(Y$150-Y$149)*10)))</f>
        <v>4.2</v>
      </c>
      <c r="Z146" s="156">
        <f>IF(VLOOKUP($B146,'Indicator Data (national)'!$B$5:$BB$14,48,FALSE)="No data","x",VLOOKUP($B146,'Indicator Data (national)'!$B$5:$BB$14,47,FALSE)*VLOOKUP($B146,'Indicator Data (national)'!$B$5:$BB$14,48,FALSE))</f>
        <v>12.598133134738728</v>
      </c>
      <c r="AA146" s="2">
        <f t="shared" si="47"/>
        <v>8.7401866865261262</v>
      </c>
      <c r="AB146" s="3">
        <f t="shared" si="48"/>
        <v>6.1989116448528341</v>
      </c>
      <c r="AC146" s="2">
        <f>IF(VLOOKUP($B146,'Indicator Data (national)'!$B$5:$BB$14,49,FALSE)="No data","x",IF(VLOOKUP($B146,'Indicator Data (national)'!$B$5:$BB$14,49,FALSE)&gt;AC$150,0,IF(VLOOKUP($B146,'Indicator Data (national)'!$B$5:$BB$14,49,FALSE)&lt;AC$149,10,(AC$150-VLOOKUP($B146,'Indicator Data (national)'!$B$5:$BB$14,49,FALSE))/(AC$150-AC$149)*10)))</f>
        <v>9.7080000000000002</v>
      </c>
      <c r="AD146" s="2">
        <f>IF(VLOOKUP($B146,'Indicator Data (national)'!$B$5:$BB$14,50,FALSE)="No data","x",IF(VLOOKUP($B146,'Indicator Data (national)'!$B$5:$BB$14,50,FALSE)&gt;AD$150,0,IF(VLOOKUP($B146,'Indicator Data (national)'!$B$5:$BB$14,50,FALSE)&lt;AD$149,10,(AD$150-VLOOKUP($B146,'Indicator Data (national)'!$B$5:$BB$14,50,FALSE))/(AD$150-AD$149)*10)))</f>
        <v>9.8327999999999989</v>
      </c>
      <c r="AE146" s="3">
        <f t="shared" si="49"/>
        <v>9.7703999999999986</v>
      </c>
      <c r="AF146" s="2">
        <f>IF(VLOOKUP($B146,'Indicator Data (national)'!$B$5:$BB$14,51,FALSE)="No data","x",IF(VLOOKUP($B146,'Indicator Data (national)'!$B$5:$BB$14,51,FALSE)&gt;AF$150,0,IF(VLOOKUP($B146,'Indicator Data (national)'!$B$5:$BB$14,51,FALSE)&lt;AF$149,10,(AF$150-VLOOKUP($B146,'Indicator Data (national)'!$B$5:$BB$14,51,FALSE))/(AF$150-AF$149)*10)))</f>
        <v>7.5200579653028035</v>
      </c>
      <c r="AG146" s="2">
        <f>IF(VLOOKUP($B146,'Indicator Data (national)'!$B$5:$BB$14,52,FALSE)="No data","x",IF(VLOOKUP($B146,'Indicator Data (national)'!$B$5:$BB$14,52,FALSE)&gt;AG$150,0,IF(VLOOKUP($B146,'Indicator Data (national)'!$B$5:$BB$14,52,FALSE)&lt;AG$149,10,(AG$150-VLOOKUP($B146,'Indicator Data (national)'!$B$5:$BB$14,52,FALSE))/(AG$150-AG$149)*10)))</f>
        <v>4.9663519999999997</v>
      </c>
      <c r="AH146" s="2">
        <f>IF(VLOOKUP($B146,'Indicator Data (national)'!$B$5:$BB$14,53,FALSE)="No data","x",IF(VLOOKUP($B146,'Indicator Data (national)'!$B$5:$BB$14,53,FALSE)&gt;AH$150,0,IF(VLOOKUP($B146,'Indicator Data (national)'!$B$5:$BB$14,53,FALSE)&lt;AH$149,10,(AH$150-VLOOKUP($B146,'Indicator Data (national)'!$B$5:$BB$14,53,FALSE))/(AH$150-AH$149)*10)))</f>
        <v>1.3316553873052239</v>
      </c>
      <c r="AI146" s="3">
        <f t="shared" si="50"/>
        <v>4.6060217842026754</v>
      </c>
      <c r="AJ146" s="5">
        <f t="shared" si="38"/>
        <v>6.8584444763518357</v>
      </c>
    </row>
    <row r="147" spans="1:36" x14ac:dyDescent="0.25">
      <c r="A147" s="16" t="s">
        <v>569</v>
      </c>
      <c r="B147" s="11" t="s">
        <v>581</v>
      </c>
      <c r="C147" s="126" t="s">
        <v>615</v>
      </c>
      <c r="D147" s="120">
        <f>(VLOOKUP($B147,'Indicator Data (national)'!$B$5:$AP$14,39,FALSE)+VLOOKUP($B147,'Indicator Data (national)'!$B$5:$AP$14,40,FALSE)+VLOOKUP($B147,'Indicator Data (national)'!$B$5:$AP$14,41,FALSE))/VLOOKUP($B147,'Indicator Data (national)'!$B$5:$AP$14,38,FALSE)*1000000</f>
        <v>0.70172402176158777</v>
      </c>
      <c r="E147" s="2">
        <f t="shared" si="39"/>
        <v>6.4913798911920617</v>
      </c>
      <c r="F147" s="3">
        <f t="shared" si="40"/>
        <v>6.4913798911920617</v>
      </c>
      <c r="G147" s="2">
        <f>IF(VLOOKUP($B147,'Indicator Data (national)'!$B$5:$AQ$14,30,FALSE)="No data","x",IF(VLOOKUP($B147,'Indicator Data (national)'!$B$5:$AQ$14,30,FALSE)&gt;G$150,10,IF(VLOOKUP($B147,'Indicator Data (national)'!$B$5:$AQ$14,30,FALSE)&lt;G$149,0,(G$150-VLOOKUP($B147,'Indicator Data (national)'!$B$5:$AQ$14,30,FALSE))/(G$150-G$149)*10)))</f>
        <v>7.4</v>
      </c>
      <c r="H147" s="2">
        <f>IF(VLOOKUP($B147,'Indicator Data (national)'!$B$5:$AQ$14,29,FALSE)="No data","x",IF(VLOOKUP($B147,'Indicator Data (national)'!$B$5:$AQ$14,29,FALSE)&gt;H$150,10,IF(VLOOKUP($B147,'Indicator Data (national)'!$B$5:$AQ$14,29,FALSE)&lt;H$149,0,(H$150-VLOOKUP($B147,'Indicator Data (national)'!$B$5:$AQ$14,29,FALSE))/(H$150-H$149)*10)))</f>
        <v>6.1603480577468872</v>
      </c>
      <c r="I147" s="3">
        <f t="shared" si="41"/>
        <v>6.7801740288734438</v>
      </c>
      <c r="J147" s="5">
        <f t="shared" si="42"/>
        <v>6.6357769600327527</v>
      </c>
      <c r="K147" s="2">
        <f>IF(VLOOKUP($B147,'Indicator Data (national)'!$B$5:$AQ$14,33,FALSE)="No data","x",IF(VLOOKUP($B147,'Indicator Data (national)'!$B$5:$AQ$14,33,FALSE)&gt;K$150,10,IF(VLOOKUP($B147,'Indicator Data (national)'!$B$5:$AQ$14,33,FALSE)&lt;K$149,0,(K$150-VLOOKUP($B147,'Indicator Data (national)'!$B$5:$AQ$14,33,FALSE))/(K$150-K$149)*10)))</f>
        <v>6.76</v>
      </c>
      <c r="L147" s="2">
        <f>IF(VLOOKUP($B147,'Indicator Data (national)'!$B$5:$AQ$14,34,FALSE)="No data","x",IF(VLOOKUP($B147,'Indicator Data (national)'!$B$5:$AQ$14,34,FALSE)&gt;L$150,10,IF(VLOOKUP($B147,'Indicator Data (national)'!$B$5:$AQ$14,34,FALSE)&lt;L$149,0,(L$150-VLOOKUP($B147,'Indicator Data (national)'!$B$5:$AQ$14,34,FALSE))/(L$150-L$149)*10)))</f>
        <v>5.5909309261937503</v>
      </c>
      <c r="M147" s="3">
        <f t="shared" si="43"/>
        <v>6.1754654630968755</v>
      </c>
      <c r="N147" s="2">
        <f>IF(VLOOKUP($B147,'Indicator Data (national)'!$B$5:$AS$14,44,FALSE)="No data","x",IF(VLOOKUP($B147,'Indicator Data (national)'!$B$5:$AS$14,44,FALSE)&gt;N$150,10,IF(VLOOKUP($B147,'Indicator Data (national)'!$B$5:$AS$14,44,FALSE)&lt;N$149,0,10-(N$150-VLOOKUP($B147,'Indicator Data (national)'!$B$5:$AS$14,44,FALSE))/(N$150-N$149)*10)))</f>
        <v>5.1111111111111116</v>
      </c>
      <c r="O147" s="2">
        <f>IF(VLOOKUP($B147,'Indicator Data (national)'!$B$5:$AS$14,42,FALSE)="No data","x",IF(VLOOKUP($B147,'Indicator Data (national)'!$B$5:$AS$14,42,FALSE)&gt;O$150,0,IF(VLOOKUP($B147,'Indicator Data (national)'!$B$5:$AS$14,42,FALSE)&lt;O$149,10,(O$150-VLOOKUP($B147,'Indicator Data (national)'!$B$5:$AS$14,42,FALSE))/(O$150-O$149)*10)))</f>
        <v>8.1208053691275168</v>
      </c>
      <c r="P147" s="158">
        <f t="shared" si="44"/>
        <v>6.6159582401193138</v>
      </c>
      <c r="Q147" s="2">
        <f>IF(VLOOKUP($B147,'Indicator Data (national)'!$B$5:$Q$14,16,FALSE)="No data","x",IF(VLOOKUP($B147,'Indicator Data (national)'!$B$5:$Q$14,16,FALSE)&gt;Q$150,0,IF(VLOOKUP($B147,'Indicator Data (national)'!$B$5:$Q$14,16,FALSE)&lt;Q$149,10,(Q$150-VLOOKUP($B147,'Indicator Data (national)'!$B$5:$Q$14,16,FALSE))/(Q$150-Q$149)*10)))</f>
        <v>8.8000000000000007</v>
      </c>
      <c r="R147" s="158">
        <f t="shared" si="45"/>
        <v>8.8000000000000007</v>
      </c>
      <c r="S147" s="3">
        <f t="shared" si="36"/>
        <v>7.7079791200596572</v>
      </c>
      <c r="T147" s="2">
        <f>IF(VLOOKUP($B147,'Indicator Data (national)'!$B$5:$BC$14,43,FALSE)="No data","x",IF(VLOOKUP($B147,'Indicator Data (national)'!$B$5:$BC$14,43,FALSE)&gt;T$150,10,IF(VLOOKUP($B147,'Indicator Data (national)'!$B$5:$BC$14,43,FALSE)&lt;T$149,0,(T$150-VLOOKUP($B147,'Indicator Data (national)'!$B$5:$BC$14,43,FALSE))/(T$150-T$149)*10)))</f>
        <v>6.94</v>
      </c>
      <c r="U147" s="3">
        <f t="shared" si="46"/>
        <v>6.94</v>
      </c>
      <c r="V147" s="5">
        <f t="shared" si="37"/>
        <v>6.9411481943855113</v>
      </c>
      <c r="W147" s="2">
        <f>IF(VLOOKUP($B147,'Indicator Data (national)'!$B$5:$AS$14,37,FALSE)="No data","x",IF(VLOOKUP($B147,'Indicator Data (national)'!$B$5:$AS$14,37,FALSE)&gt;W$150,10,IF(VLOOKUP($B147,'Indicator Data (national)'!$B$5:$AS$14,37,FALSE)&lt;W$149,0,(LOG(W$150)-LOG(VLOOKUP($B147,'Indicator Data (national)'!$B$5:$AS$14,37,FALSE)))/(LOG(W$150)-LOG(W$149))*10)))</f>
        <v>8.0776821151074323</v>
      </c>
      <c r="X147" s="2">
        <f>IF(VLOOKUP($B147,'Indicator Data (national)'!$B$5:$BB$14,45,FALSE)="No data","x",IF(VLOOKUP($B147,'Indicator Data (national)'!$B$5:$BB$14,45,FALSE)&gt;X$150,10,IF(VLOOKUP($B147,'Indicator Data (national)'!$B$5:$BB$14,45,FALSE)&lt;X$149,0,10-(X$150-VLOOKUP($B147,'Indicator Data (national)'!$B$5:$BB$14,45,FALSE))/(X$150-X$149)*10)))</f>
        <v>3.7777777777777777</v>
      </c>
      <c r="Y147" s="2">
        <f>IF(VLOOKUP($B147,'Indicator Data (national)'!$B$5:$BB$14,46,FALSE)="No data","x",IF(VLOOKUP($B147,'Indicator Data (national)'!$B$5:$BB$14,46,FALSE)&gt;Y$150,10,IF(VLOOKUP($B147,'Indicator Data (national)'!$B$5:$BB$14,46,FALSE)&lt;Y$149,0,(Y$150-VLOOKUP($B147,'Indicator Data (national)'!$B$5:$BB$14,46,FALSE))/(Y$150-Y$149)*10)))</f>
        <v>4.2</v>
      </c>
      <c r="Z147" s="156">
        <f>IF(VLOOKUP($B147,'Indicator Data (national)'!$B$5:$BB$14,48,FALSE)="No data","x",VLOOKUP($B147,'Indicator Data (national)'!$B$5:$BB$14,47,FALSE)*VLOOKUP($B147,'Indicator Data (national)'!$B$5:$BB$14,48,FALSE))</f>
        <v>12.598133134738728</v>
      </c>
      <c r="AA147" s="2">
        <f t="shared" si="47"/>
        <v>8.7401866865261262</v>
      </c>
      <c r="AB147" s="3">
        <f t="shared" si="48"/>
        <v>6.1989116448528341</v>
      </c>
      <c r="AC147" s="2">
        <f>IF(VLOOKUP($B147,'Indicator Data (national)'!$B$5:$BB$14,49,FALSE)="No data","x",IF(VLOOKUP($B147,'Indicator Data (national)'!$B$5:$BB$14,49,FALSE)&gt;AC$150,0,IF(VLOOKUP($B147,'Indicator Data (national)'!$B$5:$BB$14,49,FALSE)&lt;AC$149,10,(AC$150-VLOOKUP($B147,'Indicator Data (national)'!$B$5:$BB$14,49,FALSE))/(AC$150-AC$149)*10)))</f>
        <v>9.7080000000000002</v>
      </c>
      <c r="AD147" s="2">
        <f>IF(VLOOKUP($B147,'Indicator Data (national)'!$B$5:$BB$14,50,FALSE)="No data","x",IF(VLOOKUP($B147,'Indicator Data (national)'!$B$5:$BB$14,50,FALSE)&gt;AD$150,0,IF(VLOOKUP($B147,'Indicator Data (national)'!$B$5:$BB$14,50,FALSE)&lt;AD$149,10,(AD$150-VLOOKUP($B147,'Indicator Data (national)'!$B$5:$BB$14,50,FALSE))/(AD$150-AD$149)*10)))</f>
        <v>9.8327999999999989</v>
      </c>
      <c r="AE147" s="3">
        <f t="shared" si="49"/>
        <v>9.7703999999999986</v>
      </c>
      <c r="AF147" s="2">
        <f>IF(VLOOKUP($B147,'Indicator Data (national)'!$B$5:$BB$14,51,FALSE)="No data","x",IF(VLOOKUP($B147,'Indicator Data (national)'!$B$5:$BB$14,51,FALSE)&gt;AF$150,0,IF(VLOOKUP($B147,'Indicator Data (national)'!$B$5:$BB$14,51,FALSE)&lt;AF$149,10,(AF$150-VLOOKUP($B147,'Indicator Data (national)'!$B$5:$BB$14,51,FALSE))/(AF$150-AF$149)*10)))</f>
        <v>7.5200579653028035</v>
      </c>
      <c r="AG147" s="2">
        <f>IF(VLOOKUP($B147,'Indicator Data (national)'!$B$5:$BB$14,52,FALSE)="No data","x",IF(VLOOKUP($B147,'Indicator Data (national)'!$B$5:$BB$14,52,FALSE)&gt;AG$150,0,IF(VLOOKUP($B147,'Indicator Data (national)'!$B$5:$BB$14,52,FALSE)&lt;AG$149,10,(AG$150-VLOOKUP($B147,'Indicator Data (national)'!$B$5:$BB$14,52,FALSE))/(AG$150-AG$149)*10)))</f>
        <v>4.9663519999999997</v>
      </c>
      <c r="AH147" s="2">
        <f>IF(VLOOKUP($B147,'Indicator Data (national)'!$B$5:$BB$14,53,FALSE)="No data","x",IF(VLOOKUP($B147,'Indicator Data (national)'!$B$5:$BB$14,53,FALSE)&gt;AH$150,0,IF(VLOOKUP($B147,'Indicator Data (national)'!$B$5:$BB$14,53,FALSE)&lt;AH$149,10,(AH$150-VLOOKUP($B147,'Indicator Data (national)'!$B$5:$BB$14,53,FALSE))/(AH$150-AH$149)*10)))</f>
        <v>1.3316553873052239</v>
      </c>
      <c r="AI147" s="3">
        <f t="shared" si="50"/>
        <v>4.6060217842026754</v>
      </c>
      <c r="AJ147" s="5">
        <f t="shared" si="38"/>
        <v>6.8584444763518357</v>
      </c>
    </row>
    <row r="148" spans="1:36" x14ac:dyDescent="0.25">
      <c r="A148" s="16" t="s">
        <v>570</v>
      </c>
      <c r="B148" s="11" t="s">
        <v>581</v>
      </c>
      <c r="C148" s="126" t="s">
        <v>616</v>
      </c>
      <c r="D148" s="120">
        <f>(VLOOKUP($B148,'Indicator Data (national)'!$B$5:$AP$14,39,FALSE)+VLOOKUP($B148,'Indicator Data (national)'!$B$5:$AP$14,40,FALSE)+VLOOKUP($B148,'Indicator Data (national)'!$B$5:$AP$14,41,FALSE))/VLOOKUP($B148,'Indicator Data (national)'!$B$5:$AP$14,38,FALSE)*1000000</f>
        <v>0.70172402176158777</v>
      </c>
      <c r="E148" s="2">
        <f t="shared" si="39"/>
        <v>6.4913798911920617</v>
      </c>
      <c r="F148" s="3">
        <f t="shared" si="40"/>
        <v>6.4913798911920617</v>
      </c>
      <c r="G148" s="2">
        <f>IF(VLOOKUP($B148,'Indicator Data (national)'!$B$5:$AQ$14,30,FALSE)="No data","x",IF(VLOOKUP($B148,'Indicator Data (national)'!$B$5:$AQ$14,30,FALSE)&gt;G$150,10,IF(VLOOKUP($B148,'Indicator Data (national)'!$B$5:$AQ$14,30,FALSE)&lt;G$149,0,(G$150-VLOOKUP($B148,'Indicator Data (national)'!$B$5:$AQ$14,30,FALSE))/(G$150-G$149)*10)))</f>
        <v>7.4</v>
      </c>
      <c r="H148" s="2">
        <f>IF(VLOOKUP($B148,'Indicator Data (national)'!$B$5:$AQ$14,29,FALSE)="No data","x",IF(VLOOKUP($B148,'Indicator Data (national)'!$B$5:$AQ$14,29,FALSE)&gt;H$150,10,IF(VLOOKUP($B148,'Indicator Data (national)'!$B$5:$AQ$14,29,FALSE)&lt;H$149,0,(H$150-VLOOKUP($B148,'Indicator Data (national)'!$B$5:$AQ$14,29,FALSE))/(H$150-H$149)*10)))</f>
        <v>6.1603480577468872</v>
      </c>
      <c r="I148" s="3">
        <f t="shared" si="41"/>
        <v>6.7801740288734438</v>
      </c>
      <c r="J148" s="5">
        <f t="shared" si="42"/>
        <v>6.6357769600327527</v>
      </c>
      <c r="K148" s="2">
        <f>IF(VLOOKUP($B148,'Indicator Data (national)'!$B$5:$AQ$14,33,FALSE)="No data","x",IF(VLOOKUP($B148,'Indicator Data (national)'!$B$5:$AQ$14,33,FALSE)&gt;K$150,10,IF(VLOOKUP($B148,'Indicator Data (national)'!$B$5:$AQ$14,33,FALSE)&lt;K$149,0,(K$150-VLOOKUP($B148,'Indicator Data (national)'!$B$5:$AQ$14,33,FALSE))/(K$150-K$149)*10)))</f>
        <v>6.76</v>
      </c>
      <c r="L148" s="2">
        <f>IF(VLOOKUP($B148,'Indicator Data (national)'!$B$5:$AQ$14,34,FALSE)="No data","x",IF(VLOOKUP($B148,'Indicator Data (national)'!$B$5:$AQ$14,34,FALSE)&gt;L$150,10,IF(VLOOKUP($B148,'Indicator Data (national)'!$B$5:$AQ$14,34,FALSE)&lt;L$149,0,(L$150-VLOOKUP($B148,'Indicator Data (national)'!$B$5:$AQ$14,34,FALSE))/(L$150-L$149)*10)))</f>
        <v>5.5909309261937503</v>
      </c>
      <c r="M148" s="3">
        <f t="shared" si="43"/>
        <v>6.1754654630968755</v>
      </c>
      <c r="N148" s="2">
        <f>IF(VLOOKUP($B148,'Indicator Data (national)'!$B$5:$AS$14,44,FALSE)="No data","x",IF(VLOOKUP($B148,'Indicator Data (national)'!$B$5:$AS$14,44,FALSE)&gt;N$150,10,IF(VLOOKUP($B148,'Indicator Data (national)'!$B$5:$AS$14,44,FALSE)&lt;N$149,0,10-(N$150-VLOOKUP($B148,'Indicator Data (national)'!$B$5:$AS$14,44,FALSE))/(N$150-N$149)*10)))</f>
        <v>5.1111111111111116</v>
      </c>
      <c r="O148" s="2">
        <f>IF(VLOOKUP($B148,'Indicator Data (national)'!$B$5:$AS$14,42,FALSE)="No data","x",IF(VLOOKUP($B148,'Indicator Data (national)'!$B$5:$AS$14,42,FALSE)&gt;O$150,0,IF(VLOOKUP($B148,'Indicator Data (national)'!$B$5:$AS$14,42,FALSE)&lt;O$149,10,(O$150-VLOOKUP($B148,'Indicator Data (national)'!$B$5:$AS$14,42,FALSE))/(O$150-O$149)*10)))</f>
        <v>8.1208053691275168</v>
      </c>
      <c r="P148" s="158">
        <f t="shared" si="44"/>
        <v>6.6159582401193138</v>
      </c>
      <c r="Q148" s="2">
        <f>IF(VLOOKUP($B148,'Indicator Data (national)'!$B$5:$Q$14,16,FALSE)="No data","x",IF(VLOOKUP($B148,'Indicator Data (national)'!$B$5:$Q$14,16,FALSE)&gt;Q$150,0,IF(VLOOKUP($B148,'Indicator Data (national)'!$B$5:$Q$14,16,FALSE)&lt;Q$149,10,(Q$150-VLOOKUP($B148,'Indicator Data (national)'!$B$5:$Q$14,16,FALSE))/(Q$150-Q$149)*10)))</f>
        <v>8.8000000000000007</v>
      </c>
      <c r="R148" s="158">
        <f t="shared" si="45"/>
        <v>8.8000000000000007</v>
      </c>
      <c r="S148" s="3">
        <f t="shared" si="36"/>
        <v>7.7079791200596572</v>
      </c>
      <c r="T148" s="2">
        <f>IF(VLOOKUP($B148,'Indicator Data (national)'!$B$5:$BC$14,43,FALSE)="No data","x",IF(VLOOKUP($B148,'Indicator Data (national)'!$B$5:$BC$14,43,FALSE)&gt;T$150,10,IF(VLOOKUP($B148,'Indicator Data (national)'!$B$5:$BC$14,43,FALSE)&lt;T$149,0,(T$150-VLOOKUP($B148,'Indicator Data (national)'!$B$5:$BC$14,43,FALSE))/(T$150-T$149)*10)))</f>
        <v>6.94</v>
      </c>
      <c r="U148" s="3">
        <f t="shared" si="46"/>
        <v>6.94</v>
      </c>
      <c r="V148" s="5">
        <f t="shared" si="37"/>
        <v>6.9411481943855113</v>
      </c>
      <c r="W148" s="2">
        <f>IF(VLOOKUP($B148,'Indicator Data (national)'!$B$5:$AS$14,37,FALSE)="No data","x",IF(VLOOKUP($B148,'Indicator Data (national)'!$B$5:$AS$14,37,FALSE)&gt;W$150,10,IF(VLOOKUP($B148,'Indicator Data (national)'!$B$5:$AS$14,37,FALSE)&lt;W$149,0,(LOG(W$150)-LOG(VLOOKUP($B148,'Indicator Data (national)'!$B$5:$AS$14,37,FALSE)))/(LOG(W$150)-LOG(W$149))*10)))</f>
        <v>8.0776821151074323</v>
      </c>
      <c r="X148" s="2">
        <f>IF(VLOOKUP($B148,'Indicator Data (national)'!$B$5:$BB$14,45,FALSE)="No data","x",IF(VLOOKUP($B148,'Indicator Data (national)'!$B$5:$BB$14,45,FALSE)&gt;X$150,10,IF(VLOOKUP($B148,'Indicator Data (national)'!$B$5:$BB$14,45,FALSE)&lt;X$149,0,10-(X$150-VLOOKUP($B148,'Indicator Data (national)'!$B$5:$BB$14,45,FALSE))/(X$150-X$149)*10)))</f>
        <v>3.7777777777777777</v>
      </c>
      <c r="Y148" s="2">
        <f>IF(VLOOKUP($B148,'Indicator Data (national)'!$B$5:$BB$14,46,FALSE)="No data","x",IF(VLOOKUP($B148,'Indicator Data (national)'!$B$5:$BB$14,46,FALSE)&gt;Y$150,10,IF(VLOOKUP($B148,'Indicator Data (national)'!$B$5:$BB$14,46,FALSE)&lt;Y$149,0,(Y$150-VLOOKUP($B148,'Indicator Data (national)'!$B$5:$BB$14,46,FALSE))/(Y$150-Y$149)*10)))</f>
        <v>4.2</v>
      </c>
      <c r="Z148" s="156">
        <f>IF(VLOOKUP($B148,'Indicator Data (national)'!$B$5:$BB$14,48,FALSE)="No data","x",VLOOKUP($B148,'Indicator Data (national)'!$B$5:$BB$14,47,FALSE)*VLOOKUP($B148,'Indicator Data (national)'!$B$5:$BB$14,48,FALSE))</f>
        <v>12.598133134738728</v>
      </c>
      <c r="AA148" s="2">
        <f t="shared" si="47"/>
        <v>8.7401866865261262</v>
      </c>
      <c r="AB148" s="3">
        <f t="shared" si="48"/>
        <v>6.1989116448528341</v>
      </c>
      <c r="AC148" s="2">
        <f>IF(VLOOKUP($B148,'Indicator Data (national)'!$B$5:$BB$14,49,FALSE)="No data","x",IF(VLOOKUP($B148,'Indicator Data (national)'!$B$5:$BB$14,49,FALSE)&gt;AC$150,0,IF(VLOOKUP($B148,'Indicator Data (national)'!$B$5:$BB$14,49,FALSE)&lt;AC$149,10,(AC$150-VLOOKUP($B148,'Indicator Data (national)'!$B$5:$BB$14,49,FALSE))/(AC$150-AC$149)*10)))</f>
        <v>9.7080000000000002</v>
      </c>
      <c r="AD148" s="2">
        <f>IF(VLOOKUP($B148,'Indicator Data (national)'!$B$5:$BB$14,50,FALSE)="No data","x",IF(VLOOKUP($B148,'Indicator Data (national)'!$B$5:$BB$14,50,FALSE)&gt;AD$150,0,IF(VLOOKUP($B148,'Indicator Data (national)'!$B$5:$BB$14,50,FALSE)&lt;AD$149,10,(AD$150-VLOOKUP($B148,'Indicator Data (national)'!$B$5:$BB$14,50,FALSE))/(AD$150-AD$149)*10)))</f>
        <v>9.8327999999999989</v>
      </c>
      <c r="AE148" s="3">
        <f t="shared" si="49"/>
        <v>9.7703999999999986</v>
      </c>
      <c r="AF148" s="2">
        <f>IF(VLOOKUP($B148,'Indicator Data (national)'!$B$5:$BB$14,51,FALSE)="No data","x",IF(VLOOKUP($B148,'Indicator Data (national)'!$B$5:$BB$14,51,FALSE)&gt;AF$150,0,IF(VLOOKUP($B148,'Indicator Data (national)'!$B$5:$BB$14,51,FALSE)&lt;AF$149,10,(AF$150-VLOOKUP($B148,'Indicator Data (national)'!$B$5:$BB$14,51,FALSE))/(AF$150-AF$149)*10)))</f>
        <v>7.5200579653028035</v>
      </c>
      <c r="AG148" s="2">
        <f>IF(VLOOKUP($B148,'Indicator Data (national)'!$B$5:$BB$14,52,FALSE)="No data","x",IF(VLOOKUP($B148,'Indicator Data (national)'!$B$5:$BB$14,52,FALSE)&gt;AG$150,0,IF(VLOOKUP($B148,'Indicator Data (national)'!$B$5:$BB$14,52,FALSE)&lt;AG$149,10,(AG$150-VLOOKUP($B148,'Indicator Data (national)'!$B$5:$BB$14,52,FALSE))/(AG$150-AG$149)*10)))</f>
        <v>4.9663519999999997</v>
      </c>
      <c r="AH148" s="2">
        <f>IF(VLOOKUP($B148,'Indicator Data (national)'!$B$5:$BB$14,53,FALSE)="No data","x",IF(VLOOKUP($B148,'Indicator Data (national)'!$B$5:$BB$14,53,FALSE)&gt;AH$150,0,IF(VLOOKUP($B148,'Indicator Data (national)'!$B$5:$BB$14,53,FALSE)&lt;AH$149,10,(AH$150-VLOOKUP($B148,'Indicator Data (national)'!$B$5:$BB$14,53,FALSE))/(AH$150-AH$149)*10)))</f>
        <v>1.3316553873052239</v>
      </c>
      <c r="AI148" s="3">
        <f t="shared" si="50"/>
        <v>4.6060217842026754</v>
      </c>
      <c r="AJ148" s="5">
        <f t="shared" si="38"/>
        <v>6.8584444763518357</v>
      </c>
    </row>
    <row r="149" spans="1:36" x14ac:dyDescent="0.25">
      <c r="D149" s="60"/>
      <c r="E149" s="60">
        <v>0</v>
      </c>
      <c r="F149" s="61"/>
      <c r="G149" s="60">
        <v>0</v>
      </c>
      <c r="H149" s="58">
        <v>-2.5</v>
      </c>
      <c r="I149" s="57"/>
      <c r="J149" s="57"/>
      <c r="K149" s="60">
        <v>0</v>
      </c>
      <c r="L149" s="60">
        <v>0</v>
      </c>
      <c r="M149" s="57"/>
      <c r="N149" s="60">
        <v>500</v>
      </c>
      <c r="O149" s="60">
        <v>1</v>
      </c>
      <c r="P149" s="57"/>
      <c r="Q149" s="60">
        <v>0</v>
      </c>
      <c r="R149" s="56"/>
      <c r="S149" s="56"/>
      <c r="T149" s="60">
        <v>0</v>
      </c>
      <c r="U149" s="60"/>
      <c r="V149" s="57"/>
      <c r="W149" s="60">
        <v>500</v>
      </c>
      <c r="X149" s="60">
        <v>5</v>
      </c>
      <c r="Y149" s="60">
        <v>30</v>
      </c>
      <c r="Z149" s="60"/>
      <c r="AA149" s="60">
        <v>0</v>
      </c>
      <c r="AB149" s="57"/>
      <c r="AC149" s="60">
        <v>0</v>
      </c>
      <c r="AD149" s="60">
        <v>0</v>
      </c>
      <c r="AE149" s="56"/>
      <c r="AF149" s="60">
        <v>10</v>
      </c>
      <c r="AG149" s="60">
        <v>0</v>
      </c>
      <c r="AH149" s="60">
        <v>0</v>
      </c>
      <c r="AI149" s="60"/>
      <c r="AJ149" s="57"/>
    </row>
    <row r="150" spans="1:36" x14ac:dyDescent="0.25">
      <c r="D150" s="60"/>
      <c r="E150" s="60">
        <v>2</v>
      </c>
      <c r="F150" s="61"/>
      <c r="G150" s="60">
        <v>100</v>
      </c>
      <c r="H150" s="58">
        <v>2.5</v>
      </c>
      <c r="I150" s="57"/>
      <c r="J150" s="57"/>
      <c r="K150" s="60">
        <v>50</v>
      </c>
      <c r="L150" s="60">
        <v>100</v>
      </c>
      <c r="M150" s="57"/>
      <c r="N150" s="60">
        <v>5000</v>
      </c>
      <c r="O150" s="60">
        <v>150</v>
      </c>
      <c r="P150" s="57"/>
      <c r="Q150" s="59">
        <v>10</v>
      </c>
      <c r="R150" s="59"/>
      <c r="S150" s="56"/>
      <c r="T150" s="60">
        <v>50</v>
      </c>
      <c r="U150" s="60"/>
      <c r="V150" s="57"/>
      <c r="W150" s="60">
        <v>100000</v>
      </c>
      <c r="X150" s="60">
        <v>50</v>
      </c>
      <c r="Y150" s="60">
        <v>80</v>
      </c>
      <c r="Z150" s="60"/>
      <c r="AA150" s="60">
        <v>100</v>
      </c>
      <c r="AB150" s="57"/>
      <c r="AC150" s="59">
        <v>25</v>
      </c>
      <c r="AD150" s="59">
        <v>250</v>
      </c>
      <c r="AE150" s="59"/>
      <c r="AF150" s="60">
        <v>35</v>
      </c>
      <c r="AG150" s="60">
        <v>50</v>
      </c>
      <c r="AH150" s="60">
        <v>5</v>
      </c>
      <c r="AI150" s="60"/>
      <c r="AJ150" s="57"/>
    </row>
  </sheetData>
  <sortState ref="A4:V193">
    <sortCondition ref="A3"/>
  </sortState>
  <mergeCells count="2">
    <mergeCell ref="A1:V1"/>
    <mergeCell ref="W1:AX1"/>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89"/>
  <sheetViews>
    <sheetView showGridLines="0" workbookViewId="0">
      <pane xSplit="3" ySplit="4" topLeftCell="V10" activePane="bottomRight" state="frozen"/>
      <selection pane="topRight" activeCell="D1" sqref="D1"/>
      <selection pane="bottomLeft" activeCell="A5" sqref="A5"/>
      <selection pane="bottomRight" activeCell="V27" sqref="V27"/>
    </sheetView>
  </sheetViews>
  <sheetFormatPr defaultColWidth="8.85546875" defaultRowHeight="15" x14ac:dyDescent="0.25"/>
  <cols>
    <col min="1" max="1" width="49.42578125" style="11" bestFit="1" customWidth="1"/>
    <col min="2" max="2" width="5.42578125" style="11" bestFit="1" customWidth="1"/>
    <col min="3" max="3" width="10" style="11" bestFit="1" customWidth="1"/>
    <col min="4" max="43" width="11.42578125" style="11" customWidth="1"/>
    <col min="44" max="16384" width="8.85546875" style="11"/>
  </cols>
  <sheetData>
    <row r="1" spans="1:44" x14ac:dyDescent="0.25">
      <c r="A1" s="124"/>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row>
    <row r="2" spans="1:44" s="73" customFormat="1" ht="121.5" customHeight="1" x14ac:dyDescent="0.25">
      <c r="A2" s="16" t="s">
        <v>270</v>
      </c>
      <c r="B2" s="16" t="s">
        <v>0</v>
      </c>
      <c r="C2" s="16" t="s">
        <v>269</v>
      </c>
      <c r="D2" s="1" t="s">
        <v>325</v>
      </c>
      <c r="E2" s="1" t="s">
        <v>681</v>
      </c>
      <c r="F2" s="1" t="s">
        <v>682</v>
      </c>
      <c r="G2" s="1" t="s">
        <v>46</v>
      </c>
      <c r="H2" s="1" t="s">
        <v>704</v>
      </c>
      <c r="I2" s="1" t="s">
        <v>20</v>
      </c>
      <c r="J2" s="1" t="s">
        <v>21</v>
      </c>
      <c r="K2" s="1" t="s">
        <v>19</v>
      </c>
      <c r="L2" s="1" t="s">
        <v>78</v>
      </c>
      <c r="M2" s="1" t="s">
        <v>742</v>
      </c>
      <c r="N2" s="1" t="s">
        <v>77</v>
      </c>
      <c r="O2" s="1" t="s">
        <v>25</v>
      </c>
      <c r="P2" s="1" t="s">
        <v>69</v>
      </c>
      <c r="Q2" s="1" t="s">
        <v>75</v>
      </c>
      <c r="R2" s="1" t="s">
        <v>31</v>
      </c>
      <c r="S2" s="1" t="s">
        <v>30</v>
      </c>
      <c r="T2" s="1" t="s">
        <v>76</v>
      </c>
      <c r="U2" s="1" t="s">
        <v>73</v>
      </c>
      <c r="V2" s="1" t="s">
        <v>327</v>
      </c>
      <c r="W2" s="1" t="s">
        <v>79</v>
      </c>
      <c r="X2" s="1" t="s">
        <v>79</v>
      </c>
      <c r="Y2" s="1" t="s">
        <v>79</v>
      </c>
      <c r="Z2" s="1" t="s">
        <v>80</v>
      </c>
      <c r="AA2" s="1" t="s">
        <v>81</v>
      </c>
      <c r="AB2" s="1" t="s">
        <v>26</v>
      </c>
      <c r="AC2" s="1" t="s">
        <v>2</v>
      </c>
      <c r="AD2" s="1" t="s">
        <v>33</v>
      </c>
      <c r="AE2" s="1" t="s">
        <v>4</v>
      </c>
      <c r="AF2" s="1" t="s">
        <v>706</v>
      </c>
      <c r="AG2" s="1" t="s">
        <v>741</v>
      </c>
      <c r="AH2" s="1" t="s">
        <v>44</v>
      </c>
      <c r="AI2" s="1" t="s">
        <v>5</v>
      </c>
      <c r="AJ2" s="1" t="s">
        <v>6</v>
      </c>
      <c r="AK2" s="1" t="s">
        <v>23</v>
      </c>
      <c r="AL2" s="1" t="s">
        <v>22</v>
      </c>
      <c r="AM2" s="1" t="s">
        <v>84</v>
      </c>
      <c r="AN2" s="1" t="s">
        <v>7</v>
      </c>
      <c r="AO2" s="1" t="s">
        <v>275</v>
      </c>
      <c r="AP2" s="1" t="s">
        <v>276</v>
      </c>
      <c r="AQ2" s="1" t="s">
        <v>277</v>
      </c>
      <c r="AR2" s="73" t="s">
        <v>725</v>
      </c>
    </row>
    <row r="3" spans="1:44" ht="30" x14ac:dyDescent="0.25">
      <c r="A3" s="68" t="s">
        <v>85</v>
      </c>
      <c r="B3"/>
      <c r="C3" s="16"/>
      <c r="D3" s="69"/>
      <c r="E3" s="69"/>
      <c r="F3" s="69"/>
      <c r="G3" s="69">
        <v>2014</v>
      </c>
      <c r="H3" s="69" t="s">
        <v>703</v>
      </c>
      <c r="I3" s="69">
        <v>2012</v>
      </c>
      <c r="J3" s="69">
        <v>2011</v>
      </c>
      <c r="K3" s="69">
        <v>2012</v>
      </c>
      <c r="L3" s="69">
        <v>2012</v>
      </c>
      <c r="M3" s="69" t="s">
        <v>743</v>
      </c>
      <c r="N3" s="69">
        <v>2012</v>
      </c>
      <c r="O3" s="69">
        <v>2011</v>
      </c>
      <c r="P3" s="69">
        <v>2012</v>
      </c>
      <c r="Q3" s="69">
        <v>2012</v>
      </c>
      <c r="R3" s="69">
        <v>2012</v>
      </c>
      <c r="S3" s="69">
        <v>2011</v>
      </c>
      <c r="T3" s="69">
        <v>2011</v>
      </c>
      <c r="U3" s="69">
        <v>2012</v>
      </c>
      <c r="V3" s="69" t="s">
        <v>759</v>
      </c>
      <c r="W3" s="69">
        <v>2012</v>
      </c>
      <c r="X3" s="69">
        <v>2013</v>
      </c>
      <c r="Y3" s="69">
        <v>2014</v>
      </c>
      <c r="Z3" s="69" t="s">
        <v>743</v>
      </c>
      <c r="AA3" s="69">
        <v>2014</v>
      </c>
      <c r="AB3" s="69">
        <v>2014</v>
      </c>
      <c r="AC3" s="69">
        <v>2013</v>
      </c>
      <c r="AD3" s="69">
        <v>2013</v>
      </c>
      <c r="AE3" s="69">
        <v>2010</v>
      </c>
      <c r="AF3" s="69">
        <v>2010</v>
      </c>
      <c r="AG3" s="69">
        <v>2010</v>
      </c>
      <c r="AH3" s="69" t="s">
        <v>45</v>
      </c>
      <c r="AI3" s="69">
        <v>2012</v>
      </c>
      <c r="AJ3" s="69">
        <v>2012</v>
      </c>
      <c r="AK3" s="69">
        <v>2011</v>
      </c>
      <c r="AL3" s="69">
        <v>2011</v>
      </c>
      <c r="AM3" s="69">
        <v>2013</v>
      </c>
      <c r="AN3" s="69">
        <v>2013</v>
      </c>
      <c r="AO3" s="11" t="s">
        <v>278</v>
      </c>
      <c r="AP3" s="11" t="s">
        <v>279</v>
      </c>
      <c r="AQ3" s="11" t="s">
        <v>279</v>
      </c>
      <c r="AR3" s="11" t="s">
        <v>745</v>
      </c>
    </row>
    <row r="4" spans="1:44" ht="30" x14ac:dyDescent="0.25">
      <c r="A4" s="87" t="s">
        <v>54</v>
      </c>
      <c r="B4" s="16"/>
      <c r="C4" s="16"/>
      <c r="D4" s="69" t="s">
        <v>55</v>
      </c>
      <c r="E4" s="69" t="s">
        <v>55</v>
      </c>
      <c r="F4" s="69" t="s">
        <v>55</v>
      </c>
      <c r="G4" s="69" t="s">
        <v>56</v>
      </c>
      <c r="H4" s="69" t="s">
        <v>55</v>
      </c>
      <c r="I4" s="69" t="s">
        <v>56</v>
      </c>
      <c r="J4" s="69" t="s">
        <v>56</v>
      </c>
      <c r="K4" s="69" t="s">
        <v>56</v>
      </c>
      <c r="L4" s="69" t="s">
        <v>56</v>
      </c>
      <c r="M4" s="69" t="s">
        <v>56</v>
      </c>
      <c r="N4" s="69" t="s">
        <v>72</v>
      </c>
      <c r="O4" s="69" t="s">
        <v>68</v>
      </c>
      <c r="P4" s="69" t="s">
        <v>70</v>
      </c>
      <c r="Q4" s="69" t="s">
        <v>68</v>
      </c>
      <c r="R4" s="69" t="s">
        <v>71</v>
      </c>
      <c r="S4" s="69" t="s">
        <v>68</v>
      </c>
      <c r="T4" s="69" t="s">
        <v>82</v>
      </c>
      <c r="U4" s="69" t="s">
        <v>71</v>
      </c>
      <c r="V4" s="69" t="s">
        <v>55</v>
      </c>
      <c r="W4" s="69" t="s">
        <v>55</v>
      </c>
      <c r="X4" s="69" t="s">
        <v>55</v>
      </c>
      <c r="Y4" s="69" t="s">
        <v>55</v>
      </c>
      <c r="Z4" s="69" t="s">
        <v>55</v>
      </c>
      <c r="AA4" s="69" t="s">
        <v>55</v>
      </c>
      <c r="AB4" s="69" t="s">
        <v>55</v>
      </c>
      <c r="AC4" s="69" t="s">
        <v>56</v>
      </c>
      <c r="AD4" s="69" t="s">
        <v>56</v>
      </c>
      <c r="AE4" s="69" t="s">
        <v>68</v>
      </c>
      <c r="AF4" s="69" t="s">
        <v>68</v>
      </c>
      <c r="AG4" s="69" t="s">
        <v>68</v>
      </c>
      <c r="AH4" s="69" t="s">
        <v>68</v>
      </c>
      <c r="AI4" s="69" t="s">
        <v>68</v>
      </c>
      <c r="AJ4" s="69" t="s">
        <v>83</v>
      </c>
      <c r="AK4" s="69" t="s">
        <v>68</v>
      </c>
      <c r="AL4" s="69" t="s">
        <v>68</v>
      </c>
      <c r="AM4" s="69" t="s">
        <v>82</v>
      </c>
      <c r="AN4" s="69" t="s">
        <v>55</v>
      </c>
      <c r="AO4" s="69" t="s">
        <v>262</v>
      </c>
      <c r="AP4" s="69" t="s">
        <v>262</v>
      </c>
      <c r="AQ4" s="69" t="s">
        <v>262</v>
      </c>
      <c r="AR4" s="69" t="s">
        <v>68</v>
      </c>
    </row>
    <row r="5" spans="1:44" x14ac:dyDescent="0.25">
      <c r="A5" t="s">
        <v>328</v>
      </c>
      <c r="B5" s="126" t="s">
        <v>572</v>
      </c>
      <c r="C5" s="126" t="s">
        <v>329</v>
      </c>
      <c r="D5" s="67" t="s">
        <v>586</v>
      </c>
      <c r="E5" s="67" t="s">
        <v>586</v>
      </c>
      <c r="F5" s="67" t="s">
        <v>586</v>
      </c>
      <c r="G5" s="67">
        <v>3</v>
      </c>
      <c r="H5" s="67">
        <v>27</v>
      </c>
      <c r="I5" s="140">
        <v>0.38944349512754167</v>
      </c>
      <c r="J5" s="140">
        <v>0.49863220000000003</v>
      </c>
      <c r="K5" s="65">
        <v>0.50136646184408429</v>
      </c>
      <c r="L5" s="65">
        <v>0.3327</v>
      </c>
      <c r="M5" s="65">
        <v>0.23823150000000001</v>
      </c>
      <c r="N5" s="65"/>
      <c r="O5"/>
      <c r="P5" s="67"/>
      <c r="Q5" s="67"/>
      <c r="R5" s="67"/>
      <c r="S5" s="65"/>
      <c r="T5" s="65"/>
      <c r="U5" s="65"/>
      <c r="V5" s="65">
        <v>15</v>
      </c>
      <c r="W5" s="118"/>
      <c r="X5" s="65"/>
      <c r="Y5" s="65"/>
      <c r="Z5" s="65"/>
      <c r="AA5" s="67"/>
      <c r="AB5" s="65"/>
      <c r="AC5" s="65"/>
      <c r="AD5" s="65"/>
      <c r="AE5" s="65">
        <v>2.2000000000000028</v>
      </c>
      <c r="AF5" s="65">
        <v>38.5</v>
      </c>
      <c r="AG5" s="65">
        <v>47.1</v>
      </c>
      <c r="AH5" s="65"/>
      <c r="AI5" s="67"/>
      <c r="AJ5" s="67"/>
      <c r="AK5" s="67"/>
      <c r="AL5" s="65"/>
      <c r="AM5" s="67"/>
      <c r="AN5" s="67">
        <v>449755</v>
      </c>
      <c r="AO5" s="67"/>
      <c r="AP5" s="65"/>
      <c r="AQ5" s="66"/>
      <c r="AR5" s="118"/>
    </row>
    <row r="6" spans="1:44" x14ac:dyDescent="0.25">
      <c r="A6" s="16" t="s">
        <v>330</v>
      </c>
      <c r="B6" s="126" t="s">
        <v>572</v>
      </c>
      <c r="C6" s="126" t="s">
        <v>331</v>
      </c>
      <c r="D6" s="67" t="s">
        <v>586</v>
      </c>
      <c r="E6" s="67" t="s">
        <v>586</v>
      </c>
      <c r="F6" s="67" t="s">
        <v>586</v>
      </c>
      <c r="G6" s="67">
        <v>3</v>
      </c>
      <c r="H6" s="67">
        <v>13</v>
      </c>
      <c r="I6" s="140">
        <v>0.38944349512754167</v>
      </c>
      <c r="J6" s="140">
        <v>0.1643976</v>
      </c>
      <c r="K6" s="65">
        <v>0.50136646184408429</v>
      </c>
      <c r="L6" s="65">
        <v>0.3327</v>
      </c>
      <c r="M6" s="65">
        <v>0.106</v>
      </c>
      <c r="N6" s="65"/>
      <c r="O6"/>
      <c r="P6" s="67"/>
      <c r="Q6" s="67"/>
      <c r="R6" s="67"/>
      <c r="S6" s="65"/>
      <c r="T6" s="65"/>
      <c r="U6" s="65"/>
      <c r="V6" s="65">
        <v>15</v>
      </c>
      <c r="W6" s="118"/>
      <c r="X6" s="65"/>
      <c r="Y6" s="65"/>
      <c r="Z6" s="65"/>
      <c r="AA6" s="67"/>
      <c r="AB6" s="65"/>
      <c r="AC6" s="65"/>
      <c r="AD6" s="65"/>
      <c r="AE6" s="65">
        <v>61.5</v>
      </c>
      <c r="AF6" s="65">
        <v>39</v>
      </c>
      <c r="AG6" s="65">
        <v>86.6</v>
      </c>
      <c r="AH6" s="65"/>
      <c r="AI6" s="67"/>
      <c r="AJ6" s="67"/>
      <c r="AK6" s="67"/>
      <c r="AL6" s="65"/>
      <c r="AM6" s="67"/>
      <c r="AN6" s="67">
        <v>523364</v>
      </c>
      <c r="AO6" s="67"/>
      <c r="AP6" s="65"/>
      <c r="AQ6" s="66"/>
      <c r="AR6" s="118"/>
    </row>
    <row r="7" spans="1:44" x14ac:dyDescent="0.25">
      <c r="A7" s="16" t="s">
        <v>332</v>
      </c>
      <c r="B7" s="126" t="s">
        <v>572</v>
      </c>
      <c r="C7" s="126" t="s">
        <v>333</v>
      </c>
      <c r="D7" s="67" t="s">
        <v>586</v>
      </c>
      <c r="E7" s="67" t="s">
        <v>586</v>
      </c>
      <c r="F7" s="67" t="s">
        <v>586</v>
      </c>
      <c r="G7" s="67">
        <v>3</v>
      </c>
      <c r="H7" s="67">
        <v>5</v>
      </c>
      <c r="I7" s="140">
        <v>0.38944349512754167</v>
      </c>
      <c r="J7" s="140">
        <v>0.49863220000000003</v>
      </c>
      <c r="K7" s="65">
        <v>0.50136646184408429</v>
      </c>
      <c r="L7" s="65">
        <v>0.3327</v>
      </c>
      <c r="M7" s="65">
        <v>0.23823150000000001</v>
      </c>
      <c r="N7" s="65"/>
      <c r="O7"/>
      <c r="P7" s="67"/>
      <c r="Q7" s="67"/>
      <c r="R7" s="67"/>
      <c r="S7" s="65"/>
      <c r="T7" s="65"/>
      <c r="U7" s="65"/>
      <c r="V7" s="65">
        <v>15</v>
      </c>
      <c r="W7" s="118"/>
      <c r="X7" s="65"/>
      <c r="Y7" s="65"/>
      <c r="Z7" s="65"/>
      <c r="AA7" s="67"/>
      <c r="AB7" s="65"/>
      <c r="AC7" s="65"/>
      <c r="AD7" s="65"/>
      <c r="AE7" s="65">
        <v>2.2000000000000028</v>
      </c>
      <c r="AF7" s="65">
        <v>38.5</v>
      </c>
      <c r="AG7" s="65">
        <v>47.1</v>
      </c>
      <c r="AH7" s="65"/>
      <c r="AI7" s="67"/>
      <c r="AJ7" s="67"/>
      <c r="AK7" s="67"/>
      <c r="AL7" s="65"/>
      <c r="AM7" s="67"/>
      <c r="AN7" s="67">
        <v>807061</v>
      </c>
      <c r="AO7" s="67"/>
      <c r="AP7" s="65"/>
      <c r="AQ7" s="66"/>
      <c r="AR7" s="118"/>
    </row>
    <row r="8" spans="1:44" x14ac:dyDescent="0.25">
      <c r="A8" s="16" t="s">
        <v>334</v>
      </c>
      <c r="B8" s="126" t="s">
        <v>572</v>
      </c>
      <c r="C8" s="126" t="s">
        <v>335</v>
      </c>
      <c r="D8" s="67" t="s">
        <v>586</v>
      </c>
      <c r="E8" s="67" t="s">
        <v>586</v>
      </c>
      <c r="F8" s="67" t="s">
        <v>586</v>
      </c>
      <c r="G8" s="67">
        <v>0</v>
      </c>
      <c r="H8" s="67">
        <v>3</v>
      </c>
      <c r="I8" s="140">
        <v>0.38944349512754167</v>
      </c>
      <c r="J8" s="140">
        <v>0.42196709999999998</v>
      </c>
      <c r="K8" s="65">
        <v>0.50136646184408429</v>
      </c>
      <c r="L8" s="65">
        <v>0.3327</v>
      </c>
      <c r="M8" s="65">
        <v>0.2190087</v>
      </c>
      <c r="N8" s="65"/>
      <c r="O8"/>
      <c r="P8" s="67"/>
      <c r="Q8" s="67"/>
      <c r="R8" s="67"/>
      <c r="S8" s="65"/>
      <c r="T8" s="65"/>
      <c r="U8" s="65"/>
      <c r="V8" s="65">
        <v>15</v>
      </c>
      <c r="W8" s="118"/>
      <c r="X8" s="65"/>
      <c r="Y8" s="65"/>
      <c r="Z8" s="65"/>
      <c r="AA8" s="67"/>
      <c r="AB8" s="65"/>
      <c r="AC8" s="65"/>
      <c r="AD8" s="65"/>
      <c r="AE8" s="65">
        <v>3.7000000000000028</v>
      </c>
      <c r="AF8" s="65">
        <v>51</v>
      </c>
      <c r="AG8" s="65">
        <v>51.5</v>
      </c>
      <c r="AH8" s="65"/>
      <c r="AI8" s="67"/>
      <c r="AJ8" s="67"/>
      <c r="AK8" s="67"/>
      <c r="AL8" s="65"/>
      <c r="AM8" s="67"/>
      <c r="AN8" s="67">
        <v>790989</v>
      </c>
      <c r="AO8" s="67"/>
      <c r="AP8" s="65"/>
      <c r="AQ8" s="66"/>
      <c r="AR8" s="118"/>
    </row>
    <row r="9" spans="1:44" x14ac:dyDescent="0.25">
      <c r="A9" s="16" t="s">
        <v>336</v>
      </c>
      <c r="B9" s="126" t="s">
        <v>572</v>
      </c>
      <c r="C9" s="126" t="s">
        <v>337</v>
      </c>
      <c r="D9" s="67" t="s">
        <v>586</v>
      </c>
      <c r="E9" s="67" t="s">
        <v>586</v>
      </c>
      <c r="F9" s="67" t="s">
        <v>586</v>
      </c>
      <c r="G9" s="67">
        <v>0</v>
      </c>
      <c r="H9" s="67">
        <v>0</v>
      </c>
      <c r="I9" s="140">
        <v>0.38944349512754167</v>
      </c>
      <c r="J9" s="140">
        <v>0.4726379</v>
      </c>
      <c r="K9" s="65">
        <v>0.50136646184408429</v>
      </c>
      <c r="L9" s="65">
        <v>0.3327</v>
      </c>
      <c r="M9" s="65">
        <v>0.22582869999999999</v>
      </c>
      <c r="N9" s="65"/>
      <c r="O9"/>
      <c r="P9" s="67"/>
      <c r="Q9" s="67"/>
      <c r="R9" s="67"/>
      <c r="S9" s="65"/>
      <c r="T9" s="65"/>
      <c r="U9" s="65"/>
      <c r="V9" s="65">
        <v>15</v>
      </c>
      <c r="W9" s="118"/>
      <c r="X9" s="65"/>
      <c r="Y9" s="65"/>
      <c r="Z9" s="65"/>
      <c r="AA9" s="67"/>
      <c r="AB9" s="65"/>
      <c r="AC9" s="65"/>
      <c r="AD9" s="65"/>
      <c r="AE9" s="65">
        <v>2.5</v>
      </c>
      <c r="AF9" s="65">
        <v>40.5</v>
      </c>
      <c r="AG9" s="65">
        <v>55.6</v>
      </c>
      <c r="AH9" s="65"/>
      <c r="AI9" s="67"/>
      <c r="AJ9" s="67"/>
      <c r="AK9" s="67"/>
      <c r="AL9" s="65"/>
      <c r="AM9" s="67"/>
      <c r="AN9" s="67">
        <v>301662</v>
      </c>
      <c r="AO9" s="67"/>
      <c r="AP9" s="65"/>
      <c r="AQ9" s="66"/>
      <c r="AR9" s="118"/>
    </row>
    <row r="10" spans="1:44" x14ac:dyDescent="0.25">
      <c r="A10" s="16" t="s">
        <v>338</v>
      </c>
      <c r="B10" s="126" t="s">
        <v>572</v>
      </c>
      <c r="C10" s="126" t="s">
        <v>339</v>
      </c>
      <c r="D10" s="67" t="s">
        <v>586</v>
      </c>
      <c r="E10" s="67" t="s">
        <v>586</v>
      </c>
      <c r="F10" s="67" t="s">
        <v>586</v>
      </c>
      <c r="G10" s="67">
        <v>0</v>
      </c>
      <c r="H10" s="67">
        <v>45</v>
      </c>
      <c r="I10" s="140">
        <v>0.38944349512754167</v>
      </c>
      <c r="J10" s="140">
        <v>0.49863220000000003</v>
      </c>
      <c r="K10" s="65">
        <v>0.50136646184408429</v>
      </c>
      <c r="L10" s="65">
        <v>0.3327</v>
      </c>
      <c r="M10" s="65">
        <v>0.23823150000000001</v>
      </c>
      <c r="N10" s="65"/>
      <c r="O10"/>
      <c r="P10" s="67"/>
      <c r="Q10" s="67"/>
      <c r="R10" s="67"/>
      <c r="S10" s="65"/>
      <c r="T10" s="65"/>
      <c r="U10" s="65"/>
      <c r="V10" s="65">
        <v>15</v>
      </c>
      <c r="W10" s="118"/>
      <c r="X10" s="65"/>
      <c r="Y10" s="65"/>
      <c r="Z10" s="65"/>
      <c r="AA10" s="67"/>
      <c r="AB10" s="65"/>
      <c r="AC10" s="65"/>
      <c r="AD10" s="65"/>
      <c r="AE10" s="65">
        <v>2.2000000000000028</v>
      </c>
      <c r="AF10" s="65">
        <v>38.5</v>
      </c>
      <c r="AG10" s="65">
        <v>47.1</v>
      </c>
      <c r="AH10" s="65"/>
      <c r="AI10" s="67"/>
      <c r="AJ10" s="67"/>
      <c r="AK10" s="67"/>
      <c r="AL10" s="65"/>
      <c r="AM10" s="67"/>
      <c r="AN10" s="67">
        <v>618295</v>
      </c>
      <c r="AO10" s="67"/>
      <c r="AP10" s="65"/>
      <c r="AQ10" s="66"/>
      <c r="AR10" s="118"/>
    </row>
    <row r="11" spans="1:44" x14ac:dyDescent="0.25">
      <c r="A11" s="16" t="s">
        <v>340</v>
      </c>
      <c r="B11" s="126" t="s">
        <v>572</v>
      </c>
      <c r="C11" s="126" t="s">
        <v>341</v>
      </c>
      <c r="D11" s="67" t="s">
        <v>586</v>
      </c>
      <c r="E11" s="67" t="s">
        <v>586</v>
      </c>
      <c r="F11" s="67" t="s">
        <v>586</v>
      </c>
      <c r="G11" s="67">
        <v>0</v>
      </c>
      <c r="H11" s="67">
        <v>2</v>
      </c>
      <c r="I11" s="140">
        <v>0.38944349512754167</v>
      </c>
      <c r="J11" s="140">
        <v>0.4726379</v>
      </c>
      <c r="K11" s="65">
        <v>0.50136646184408429</v>
      </c>
      <c r="L11" s="65">
        <v>0.3327</v>
      </c>
      <c r="M11" s="65">
        <v>0.22582869999999999</v>
      </c>
      <c r="N11" s="65"/>
      <c r="O11"/>
      <c r="P11" s="67"/>
      <c r="Q11" s="67"/>
      <c r="R11" s="67"/>
      <c r="S11" s="65"/>
      <c r="T11" s="65"/>
      <c r="U11" s="65"/>
      <c r="V11" s="65">
        <v>15</v>
      </c>
      <c r="W11" s="118"/>
      <c r="X11" s="65"/>
      <c r="Y11" s="65"/>
      <c r="Z11" s="65"/>
      <c r="AA11" s="67"/>
      <c r="AB11" s="65"/>
      <c r="AC11" s="65"/>
      <c r="AD11" s="65"/>
      <c r="AE11" s="65">
        <v>2.5</v>
      </c>
      <c r="AF11" s="65">
        <v>40.5</v>
      </c>
      <c r="AG11" s="65">
        <v>55.6</v>
      </c>
      <c r="AH11" s="65"/>
      <c r="AI11" s="67"/>
      <c r="AJ11" s="67"/>
      <c r="AK11" s="67"/>
      <c r="AL11" s="65"/>
      <c r="AM11" s="67"/>
      <c r="AN11" s="67">
        <v>930400</v>
      </c>
      <c r="AO11" s="67"/>
      <c r="AP11" s="65"/>
      <c r="AQ11" s="66"/>
      <c r="AR11" s="118"/>
    </row>
    <row r="12" spans="1:44" x14ac:dyDescent="0.25">
      <c r="A12" s="16" t="s">
        <v>342</v>
      </c>
      <c r="B12" s="126" t="s">
        <v>572</v>
      </c>
      <c r="C12" s="126" t="s">
        <v>343</v>
      </c>
      <c r="D12" s="67" t="s">
        <v>586</v>
      </c>
      <c r="E12" s="67" t="s">
        <v>586</v>
      </c>
      <c r="F12" s="67" t="s">
        <v>586</v>
      </c>
      <c r="G12" s="67">
        <v>0</v>
      </c>
      <c r="H12" s="67">
        <v>3</v>
      </c>
      <c r="I12" s="140">
        <v>0.38944349512754167</v>
      </c>
      <c r="J12" s="140">
        <v>0.4726379</v>
      </c>
      <c r="K12" s="65">
        <v>0.50136646184408429</v>
      </c>
      <c r="L12" s="65">
        <v>0.3327</v>
      </c>
      <c r="M12" s="65">
        <v>0.22582869999999999</v>
      </c>
      <c r="N12" s="65"/>
      <c r="O12"/>
      <c r="P12" s="67"/>
      <c r="Q12" s="67"/>
      <c r="R12" s="67"/>
      <c r="S12" s="65"/>
      <c r="T12" s="65"/>
      <c r="U12" s="65"/>
      <c r="V12" s="65">
        <v>15</v>
      </c>
      <c r="W12" s="118"/>
      <c r="X12" s="65"/>
      <c r="Y12" s="65"/>
      <c r="Z12" s="65"/>
      <c r="AA12" s="67"/>
      <c r="AB12" s="65"/>
      <c r="AC12" s="65"/>
      <c r="AD12" s="65"/>
      <c r="AE12" s="65">
        <v>2.5</v>
      </c>
      <c r="AF12" s="65">
        <v>40.5</v>
      </c>
      <c r="AG12" s="65">
        <v>55.6</v>
      </c>
      <c r="AH12" s="65"/>
      <c r="AI12" s="67"/>
      <c r="AJ12" s="67"/>
      <c r="AK12" s="67"/>
      <c r="AL12" s="65"/>
      <c r="AM12" s="67"/>
      <c r="AN12" s="67">
        <v>596684</v>
      </c>
      <c r="AO12" s="67"/>
      <c r="AP12" s="65"/>
      <c r="AQ12" s="66"/>
      <c r="AR12" s="118"/>
    </row>
    <row r="13" spans="1:44" x14ac:dyDescent="0.25">
      <c r="A13" s="16" t="s">
        <v>344</v>
      </c>
      <c r="B13" s="126" t="s">
        <v>572</v>
      </c>
      <c r="C13" s="126" t="s">
        <v>345</v>
      </c>
      <c r="D13" s="67" t="s">
        <v>586</v>
      </c>
      <c r="E13" s="67" t="s">
        <v>586</v>
      </c>
      <c r="F13" s="67" t="s">
        <v>586</v>
      </c>
      <c r="G13" s="67">
        <v>0</v>
      </c>
      <c r="H13" s="67">
        <v>11</v>
      </c>
      <c r="I13" s="140">
        <v>0.38944349512754167</v>
      </c>
      <c r="J13" s="140">
        <v>0.50050879999999998</v>
      </c>
      <c r="K13" s="65">
        <v>0.50136646184408429</v>
      </c>
      <c r="L13" s="65">
        <v>0.3327</v>
      </c>
      <c r="M13" s="65">
        <v>0.23762059999999999</v>
      </c>
      <c r="N13" s="65"/>
      <c r="O13"/>
      <c r="P13" s="67"/>
      <c r="Q13" s="67"/>
      <c r="R13" s="67"/>
      <c r="S13" s="65"/>
      <c r="T13" s="65"/>
      <c r="U13" s="65"/>
      <c r="V13" s="65">
        <v>15</v>
      </c>
      <c r="W13" s="118"/>
      <c r="X13" s="65"/>
      <c r="Y13" s="65"/>
      <c r="Z13" s="65"/>
      <c r="AA13" s="67"/>
      <c r="AB13" s="65"/>
      <c r="AC13" s="65"/>
      <c r="AD13" s="65"/>
      <c r="AE13" s="65">
        <v>2.2999999999999972</v>
      </c>
      <c r="AF13" s="65">
        <v>16.899999999999999</v>
      </c>
      <c r="AG13" s="65">
        <v>49.2</v>
      </c>
      <c r="AH13" s="65"/>
      <c r="AI13" s="67"/>
      <c r="AJ13" s="67"/>
      <c r="AK13" s="67"/>
      <c r="AL13" s="65"/>
      <c r="AM13" s="67"/>
      <c r="AN13" s="67">
        <v>829008</v>
      </c>
      <c r="AO13" s="67"/>
      <c r="AP13" s="65"/>
      <c r="AQ13" s="66"/>
      <c r="AR13" s="118"/>
    </row>
    <row r="14" spans="1:44" x14ac:dyDescent="0.25">
      <c r="A14" s="16" t="s">
        <v>346</v>
      </c>
      <c r="B14" s="126" t="s">
        <v>572</v>
      </c>
      <c r="C14" s="126" t="s">
        <v>347</v>
      </c>
      <c r="D14" s="67" t="s">
        <v>586</v>
      </c>
      <c r="E14" s="67" t="s">
        <v>586</v>
      </c>
      <c r="F14" s="67" t="s">
        <v>586</v>
      </c>
      <c r="G14" s="67">
        <v>0</v>
      </c>
      <c r="H14" s="67">
        <v>14</v>
      </c>
      <c r="I14" s="140">
        <v>0.38944349512754167</v>
      </c>
      <c r="J14" s="140">
        <v>0.50050879999999998</v>
      </c>
      <c r="K14" s="65">
        <v>0.50136646184408429</v>
      </c>
      <c r="L14" s="65">
        <v>0.3327</v>
      </c>
      <c r="M14" s="65">
        <v>0.23762059999999999</v>
      </c>
      <c r="N14" s="65"/>
      <c r="O14"/>
      <c r="P14" s="67"/>
      <c r="Q14" s="67"/>
      <c r="R14" s="67"/>
      <c r="S14" s="65"/>
      <c r="T14" s="65"/>
      <c r="U14" s="65"/>
      <c r="V14" s="65">
        <v>15</v>
      </c>
      <c r="W14" s="118"/>
      <c r="X14" s="65"/>
      <c r="Y14" s="65"/>
      <c r="Z14" s="65"/>
      <c r="AA14" s="67"/>
      <c r="AB14" s="65"/>
      <c r="AC14" s="65"/>
      <c r="AD14" s="65"/>
      <c r="AE14" s="65">
        <v>2.2999999999999972</v>
      </c>
      <c r="AF14" s="65">
        <v>16.899999999999999</v>
      </c>
      <c r="AG14" s="65">
        <v>49.2</v>
      </c>
      <c r="AH14" s="65"/>
      <c r="AI14" s="67"/>
      <c r="AJ14" s="67"/>
      <c r="AK14" s="67"/>
      <c r="AL14" s="65"/>
      <c r="AM14" s="67"/>
      <c r="AN14" s="67">
        <v>857768</v>
      </c>
      <c r="AO14" s="67"/>
      <c r="AP14" s="65"/>
      <c r="AQ14" s="66"/>
      <c r="AR14" s="118"/>
    </row>
    <row r="15" spans="1:44" x14ac:dyDescent="0.25">
      <c r="A15" s="16" t="s">
        <v>348</v>
      </c>
      <c r="B15" s="126" t="s">
        <v>572</v>
      </c>
      <c r="C15" s="126" t="s">
        <v>349</v>
      </c>
      <c r="D15" s="67" t="s">
        <v>586</v>
      </c>
      <c r="E15" s="67" t="s">
        <v>586</v>
      </c>
      <c r="F15" s="67" t="s">
        <v>586</v>
      </c>
      <c r="G15" s="67">
        <v>0</v>
      </c>
      <c r="H15" s="67" t="s">
        <v>586</v>
      </c>
      <c r="I15" s="140">
        <v>0.38944349512754167</v>
      </c>
      <c r="J15" s="140">
        <v>0.42196709999999998</v>
      </c>
      <c r="K15" s="65">
        <v>0.50136646184408429</v>
      </c>
      <c r="L15" s="65">
        <v>0.3327</v>
      </c>
      <c r="M15" s="65">
        <v>0.2190087</v>
      </c>
      <c r="N15" s="65"/>
      <c r="O15"/>
      <c r="P15" s="67"/>
      <c r="Q15" s="67"/>
      <c r="R15" s="67"/>
      <c r="S15" s="65"/>
      <c r="T15" s="65"/>
      <c r="U15" s="65"/>
      <c r="V15" s="65">
        <v>15</v>
      </c>
      <c r="W15" s="118"/>
      <c r="X15" s="65"/>
      <c r="Y15" s="65"/>
      <c r="Z15" s="65"/>
      <c r="AA15" s="67"/>
      <c r="AB15" s="65"/>
      <c r="AC15" s="65"/>
      <c r="AD15" s="65"/>
      <c r="AE15" s="65">
        <v>3.7000000000000028</v>
      </c>
      <c r="AF15" s="65">
        <v>51</v>
      </c>
      <c r="AG15" s="65">
        <v>51.5</v>
      </c>
      <c r="AH15" s="65"/>
      <c r="AI15" s="67"/>
      <c r="AJ15" s="67"/>
      <c r="AK15" s="67"/>
      <c r="AL15" s="65"/>
      <c r="AM15" s="67"/>
      <c r="AN15" s="67">
        <v>592785</v>
      </c>
      <c r="AO15" s="67"/>
      <c r="AP15" s="65"/>
      <c r="AQ15" s="66"/>
      <c r="AR15" s="118"/>
    </row>
    <row r="16" spans="1:44" x14ac:dyDescent="0.25">
      <c r="A16" s="16" t="s">
        <v>350</v>
      </c>
      <c r="B16" s="126" t="s">
        <v>572</v>
      </c>
      <c r="C16" s="126" t="s">
        <v>351</v>
      </c>
      <c r="D16" s="67" t="s">
        <v>586</v>
      </c>
      <c r="E16" s="67" t="s">
        <v>586</v>
      </c>
      <c r="F16" s="67" t="s">
        <v>586</v>
      </c>
      <c r="G16" s="67">
        <v>0</v>
      </c>
      <c r="H16" s="67">
        <v>0</v>
      </c>
      <c r="I16" s="140">
        <v>0.38944349512754167</v>
      </c>
      <c r="J16" s="140">
        <v>0.4726379</v>
      </c>
      <c r="K16" s="65">
        <v>0.50136646184408429</v>
      </c>
      <c r="L16" s="65">
        <v>0.3327</v>
      </c>
      <c r="M16" s="65">
        <v>0.22582869999999999</v>
      </c>
      <c r="N16" s="65"/>
      <c r="O16"/>
      <c r="P16" s="67"/>
      <c r="Q16" s="67"/>
      <c r="R16" s="67"/>
      <c r="S16" s="65"/>
      <c r="T16" s="65"/>
      <c r="U16" s="65"/>
      <c r="V16" s="65">
        <v>15</v>
      </c>
      <c r="W16" s="118"/>
      <c r="X16" s="65"/>
      <c r="Y16" s="65"/>
      <c r="Z16" s="65"/>
      <c r="AA16" s="67"/>
      <c r="AB16" s="65"/>
      <c r="AC16" s="65"/>
      <c r="AD16" s="65"/>
      <c r="AE16" s="65">
        <v>2.5</v>
      </c>
      <c r="AF16" s="65">
        <v>40.5</v>
      </c>
      <c r="AG16" s="65">
        <v>55.6</v>
      </c>
      <c r="AH16" s="65"/>
      <c r="AI16" s="67"/>
      <c r="AJ16" s="67"/>
      <c r="AK16" s="67"/>
      <c r="AL16" s="65"/>
      <c r="AM16" s="67"/>
      <c r="AN16" s="67">
        <v>415271</v>
      </c>
      <c r="AO16" s="67"/>
      <c r="AP16" s="65"/>
      <c r="AQ16" s="66"/>
      <c r="AR16" s="118"/>
    </row>
    <row r="17" spans="1:44" x14ac:dyDescent="0.25">
      <c r="A17" s="16" t="s">
        <v>352</v>
      </c>
      <c r="B17" s="126" t="s">
        <v>572</v>
      </c>
      <c r="C17" s="126" t="s">
        <v>353</v>
      </c>
      <c r="D17" s="67" t="s">
        <v>586</v>
      </c>
      <c r="E17" s="67" t="s">
        <v>586</v>
      </c>
      <c r="F17" s="67" t="s">
        <v>586</v>
      </c>
      <c r="G17" s="67">
        <v>0</v>
      </c>
      <c r="H17" s="67">
        <v>1</v>
      </c>
      <c r="I17" s="140">
        <v>0.38944349512754167</v>
      </c>
      <c r="J17" s="140">
        <v>0.50050879999999998</v>
      </c>
      <c r="K17" s="65">
        <v>0.50136646184408429</v>
      </c>
      <c r="L17" s="65">
        <v>0.3327</v>
      </c>
      <c r="M17" s="65">
        <v>0.23762059999999999</v>
      </c>
      <c r="N17" s="65"/>
      <c r="O17"/>
      <c r="P17" s="67"/>
      <c r="Q17" s="67"/>
      <c r="R17" s="67"/>
      <c r="S17" s="65"/>
      <c r="T17" s="65"/>
      <c r="U17" s="65"/>
      <c r="V17" s="65">
        <v>15</v>
      </c>
      <c r="W17" s="118"/>
      <c r="X17" s="65"/>
      <c r="Y17" s="65"/>
      <c r="Z17" s="65"/>
      <c r="AA17" s="67"/>
      <c r="AB17" s="65"/>
      <c r="AC17" s="65"/>
      <c r="AD17" s="65"/>
      <c r="AE17" s="65">
        <v>2.2999999999999972</v>
      </c>
      <c r="AF17" s="65">
        <v>16.899999999999999</v>
      </c>
      <c r="AG17" s="65">
        <v>49.2</v>
      </c>
      <c r="AH17" s="65"/>
      <c r="AI17" s="67"/>
      <c r="AJ17" s="67"/>
      <c r="AK17" s="67"/>
      <c r="AL17" s="65"/>
      <c r="AM17" s="67"/>
      <c r="AN17" s="67">
        <v>841266</v>
      </c>
      <c r="AO17" s="67"/>
      <c r="AP17" s="65"/>
      <c r="AQ17" s="66"/>
      <c r="AR17" s="118"/>
    </row>
    <row r="18" spans="1:44" x14ac:dyDescent="0.25">
      <c r="A18" s="16" t="s">
        <v>354</v>
      </c>
      <c r="B18" s="126" t="s">
        <v>572</v>
      </c>
      <c r="C18" s="126" t="s">
        <v>355</v>
      </c>
      <c r="D18" s="67" t="s">
        <v>586</v>
      </c>
      <c r="E18" s="67" t="s">
        <v>586</v>
      </c>
      <c r="F18" s="67" t="s">
        <v>586</v>
      </c>
      <c r="G18" s="67">
        <v>0</v>
      </c>
      <c r="H18" s="67" t="s">
        <v>586</v>
      </c>
      <c r="I18" s="140">
        <v>0.38944349512754167</v>
      </c>
      <c r="J18" s="140">
        <v>0.42196709999999998</v>
      </c>
      <c r="K18" s="65">
        <v>0.50136646184408429</v>
      </c>
      <c r="L18" s="65">
        <v>0.3327</v>
      </c>
      <c r="M18" s="65">
        <v>0.2190087</v>
      </c>
      <c r="N18" s="65"/>
      <c r="O18"/>
      <c r="P18" s="67"/>
      <c r="Q18" s="67"/>
      <c r="R18" s="67"/>
      <c r="S18" s="65"/>
      <c r="T18" s="65"/>
      <c r="U18" s="65"/>
      <c r="V18" s="65">
        <v>15</v>
      </c>
      <c r="W18" s="118"/>
      <c r="X18" s="65"/>
      <c r="Y18" s="65"/>
      <c r="Z18" s="65"/>
      <c r="AA18" s="67"/>
      <c r="AB18" s="65"/>
      <c r="AC18" s="65"/>
      <c r="AD18" s="65"/>
      <c r="AE18" s="65">
        <v>3.7000000000000028</v>
      </c>
      <c r="AF18" s="65">
        <v>51</v>
      </c>
      <c r="AG18" s="65">
        <v>51.5</v>
      </c>
      <c r="AH18" s="65"/>
      <c r="AI18" s="67"/>
      <c r="AJ18" s="67"/>
      <c r="AK18" s="67"/>
      <c r="AL18" s="65"/>
      <c r="AM18" s="67"/>
      <c r="AN18" s="67">
        <v>375571</v>
      </c>
      <c r="AO18" s="67"/>
      <c r="AP18" s="65"/>
      <c r="AQ18" s="66"/>
      <c r="AR18" s="118"/>
    </row>
    <row r="19" spans="1:44" x14ac:dyDescent="0.25">
      <c r="A19" s="16" t="s">
        <v>356</v>
      </c>
      <c r="B19" s="126" t="s">
        <v>572</v>
      </c>
      <c r="C19" s="126" t="s">
        <v>357</v>
      </c>
      <c r="D19" s="67" t="s">
        <v>586</v>
      </c>
      <c r="E19" s="67" t="s">
        <v>586</v>
      </c>
      <c r="F19" s="67" t="s">
        <v>586</v>
      </c>
      <c r="G19" s="67">
        <v>0</v>
      </c>
      <c r="H19" s="67">
        <v>0</v>
      </c>
      <c r="I19" s="140">
        <v>0.38944349512754167</v>
      </c>
      <c r="J19" s="140">
        <v>0.50050879999999998</v>
      </c>
      <c r="K19" s="65">
        <v>0.50136646184408429</v>
      </c>
      <c r="L19" s="65">
        <v>0.3327</v>
      </c>
      <c r="M19" s="65">
        <v>0.23762059999999999</v>
      </c>
      <c r="N19" s="65"/>
      <c r="O19"/>
      <c r="P19" s="67"/>
      <c r="Q19" s="67"/>
      <c r="R19" s="67"/>
      <c r="S19" s="65"/>
      <c r="T19" s="65"/>
      <c r="U19" s="65"/>
      <c r="V19" s="65">
        <v>15</v>
      </c>
      <c r="W19" s="118"/>
      <c r="X19" s="65"/>
      <c r="Y19" s="65"/>
      <c r="Z19" s="65"/>
      <c r="AA19" s="67"/>
      <c r="AB19" s="65"/>
      <c r="AC19" s="65"/>
      <c r="AD19" s="65"/>
      <c r="AE19" s="65">
        <v>2.2999999999999972</v>
      </c>
      <c r="AF19" s="65">
        <v>16.899999999999999</v>
      </c>
      <c r="AG19" s="65">
        <v>49.2</v>
      </c>
      <c r="AH19" s="65"/>
      <c r="AI19" s="67"/>
      <c r="AJ19" s="67"/>
      <c r="AK19" s="67"/>
      <c r="AL19" s="65"/>
      <c r="AM19" s="67"/>
      <c r="AN19" s="67">
        <v>896523</v>
      </c>
      <c r="AO19" s="67"/>
      <c r="AP19" s="65"/>
      <c r="AQ19" s="66"/>
      <c r="AR19" s="118"/>
    </row>
    <row r="20" spans="1:44" x14ac:dyDescent="0.25">
      <c r="A20" s="16" t="s">
        <v>358</v>
      </c>
      <c r="B20" s="126" t="s">
        <v>572</v>
      </c>
      <c r="C20" s="126" t="s">
        <v>359</v>
      </c>
      <c r="D20" s="67" t="s">
        <v>586</v>
      </c>
      <c r="E20" s="67" t="s">
        <v>586</v>
      </c>
      <c r="F20" s="67" t="s">
        <v>586</v>
      </c>
      <c r="G20" s="67">
        <v>0</v>
      </c>
      <c r="H20" s="67">
        <v>0</v>
      </c>
      <c r="I20" s="140">
        <v>0.38944349512754167</v>
      </c>
      <c r="J20" s="140">
        <v>0.42196709999999998</v>
      </c>
      <c r="K20" s="65">
        <v>0.50136646184408429</v>
      </c>
      <c r="L20" s="65">
        <v>0.3327</v>
      </c>
      <c r="M20" s="65">
        <v>0.2190087</v>
      </c>
      <c r="N20" s="65"/>
      <c r="O20"/>
      <c r="P20" s="67"/>
      <c r="Q20" s="67"/>
      <c r="R20" s="67"/>
      <c r="S20" s="65"/>
      <c r="T20" s="65"/>
      <c r="U20" s="65"/>
      <c r="V20" s="65">
        <v>15</v>
      </c>
      <c r="W20" s="118"/>
      <c r="X20" s="65"/>
      <c r="Y20" s="65"/>
      <c r="Z20" s="65"/>
      <c r="AA20" s="67"/>
      <c r="AB20" s="65"/>
      <c r="AC20" s="65"/>
      <c r="AD20" s="65"/>
      <c r="AE20" s="65">
        <v>3.7000000000000028</v>
      </c>
      <c r="AF20" s="65">
        <v>51</v>
      </c>
      <c r="AG20" s="65">
        <v>51.5</v>
      </c>
      <c r="AH20" s="65"/>
      <c r="AI20" s="67"/>
      <c r="AJ20" s="67"/>
      <c r="AK20" s="67"/>
      <c r="AL20" s="65"/>
      <c r="AM20" s="67"/>
      <c r="AN20" s="67">
        <v>462989</v>
      </c>
      <c r="AO20" s="67"/>
      <c r="AP20" s="65"/>
      <c r="AQ20" s="66"/>
      <c r="AR20" s="118"/>
    </row>
    <row r="21" spans="1:44" x14ac:dyDescent="0.25">
      <c r="A21" s="16" t="s">
        <v>360</v>
      </c>
      <c r="B21" s="126" t="s">
        <v>572</v>
      </c>
      <c r="C21" s="126" t="s">
        <v>361</v>
      </c>
      <c r="D21" s="67" t="s">
        <v>586</v>
      </c>
      <c r="E21" s="67" t="s">
        <v>586</v>
      </c>
      <c r="F21" s="67" t="s">
        <v>586</v>
      </c>
      <c r="G21" s="67">
        <v>0</v>
      </c>
      <c r="H21" s="67">
        <v>2</v>
      </c>
      <c r="I21" s="140">
        <v>0.38944349512754167</v>
      </c>
      <c r="J21" s="140">
        <v>0.4726379</v>
      </c>
      <c r="K21" s="65">
        <v>0.50136646184408429</v>
      </c>
      <c r="L21" s="65">
        <v>0.3327</v>
      </c>
      <c r="M21" s="65">
        <v>0.22582869999999999</v>
      </c>
      <c r="N21" s="65"/>
      <c r="O21"/>
      <c r="P21" s="67"/>
      <c r="Q21" s="67"/>
      <c r="R21" s="67"/>
      <c r="S21" s="65"/>
      <c r="T21" s="65"/>
      <c r="U21" s="65"/>
      <c r="V21" s="65">
        <v>15</v>
      </c>
      <c r="W21" s="118"/>
      <c r="X21" s="65"/>
      <c r="Y21" s="65"/>
      <c r="Z21" s="65"/>
      <c r="AA21" s="67"/>
      <c r="AB21" s="65"/>
      <c r="AC21" s="65"/>
      <c r="AD21" s="65"/>
      <c r="AE21" s="65">
        <v>2.5</v>
      </c>
      <c r="AF21" s="65">
        <v>40.5</v>
      </c>
      <c r="AG21" s="65">
        <v>55.6</v>
      </c>
      <c r="AH21" s="65"/>
      <c r="AI21" s="67"/>
      <c r="AJ21" s="67"/>
      <c r="AK21" s="67"/>
      <c r="AL21" s="65"/>
      <c r="AM21" s="67"/>
      <c r="AN21" s="67">
        <v>545098</v>
      </c>
      <c r="AO21" s="67"/>
      <c r="AP21" s="65"/>
      <c r="AQ21" s="66"/>
      <c r="AR21" s="118"/>
    </row>
    <row r="22" spans="1:44" x14ac:dyDescent="0.25">
      <c r="A22" s="16" t="s">
        <v>363</v>
      </c>
      <c r="B22" s="11" t="s">
        <v>573</v>
      </c>
      <c r="C22" s="126" t="s">
        <v>364</v>
      </c>
      <c r="D22" s="67">
        <v>1202</v>
      </c>
      <c r="E22" s="67">
        <v>11836</v>
      </c>
      <c r="F22" s="67">
        <v>0</v>
      </c>
      <c r="G22" s="67">
        <v>0</v>
      </c>
      <c r="H22" s="67" t="s">
        <v>586</v>
      </c>
      <c r="I22" s="140">
        <v>0.46741930875463245</v>
      </c>
      <c r="J22" s="140">
        <v>0.214</v>
      </c>
      <c r="K22" s="67" t="s">
        <v>702</v>
      </c>
      <c r="L22" s="65">
        <v>0.44600000000000001</v>
      </c>
      <c r="M22" s="65">
        <v>0.15695700000000001</v>
      </c>
      <c r="N22" s="65"/>
      <c r="O22"/>
      <c r="P22" s="67"/>
      <c r="Q22" s="67"/>
      <c r="R22" s="67"/>
      <c r="S22" s="65"/>
      <c r="T22" s="65"/>
      <c r="U22" s="65"/>
      <c r="V22" s="65">
        <v>12</v>
      </c>
      <c r="W22" s="118"/>
      <c r="X22" s="65"/>
      <c r="Y22" s="65"/>
      <c r="Z22" s="65"/>
      <c r="AA22" s="67">
        <f>14928</f>
        <v>14928</v>
      </c>
      <c r="AB22" s="65"/>
      <c r="AC22" s="65"/>
      <c r="AD22" s="65"/>
      <c r="AE22" s="65">
        <v>46.6</v>
      </c>
      <c r="AF22" s="65">
        <v>62</v>
      </c>
      <c r="AG22" s="65">
        <v>74.400000000000006</v>
      </c>
      <c r="AH22" s="65"/>
      <c r="AI22" s="67"/>
      <c r="AJ22" s="67"/>
      <c r="AK22" s="67"/>
      <c r="AL22" s="65"/>
      <c r="AM22" s="67"/>
      <c r="AN22" s="67">
        <v>85100</v>
      </c>
      <c r="AO22" s="67"/>
      <c r="AP22" s="65"/>
      <c r="AQ22" s="66"/>
      <c r="AR22" s="118"/>
    </row>
    <row r="23" spans="1:44" x14ac:dyDescent="0.25">
      <c r="A23" s="16" t="s">
        <v>365</v>
      </c>
      <c r="B23" s="11" t="s">
        <v>573</v>
      </c>
      <c r="C23" s="126" t="s">
        <v>366</v>
      </c>
      <c r="D23" s="67">
        <v>1102</v>
      </c>
      <c r="E23" s="67">
        <v>39965</v>
      </c>
      <c r="F23" s="67">
        <v>0</v>
      </c>
      <c r="G23" s="67">
        <v>0</v>
      </c>
      <c r="H23" s="67" t="s">
        <v>586</v>
      </c>
      <c r="I23" s="140">
        <v>0.46741930875463245</v>
      </c>
      <c r="J23" s="140">
        <v>0.214</v>
      </c>
      <c r="K23" s="67" t="s">
        <v>702</v>
      </c>
      <c r="L23" s="65">
        <v>0.44600000000000001</v>
      </c>
      <c r="M23" s="65">
        <v>0.15695700000000001</v>
      </c>
      <c r="N23" s="65"/>
      <c r="O23"/>
      <c r="P23" s="67"/>
      <c r="Q23" s="67"/>
      <c r="R23" s="67"/>
      <c r="S23" s="65"/>
      <c r="T23" s="65"/>
      <c r="U23" s="65"/>
      <c r="V23" s="65">
        <v>20</v>
      </c>
      <c r="W23" s="118"/>
      <c r="X23" s="65"/>
      <c r="Y23" s="65"/>
      <c r="Z23" s="65"/>
      <c r="AA23" s="67">
        <v>0</v>
      </c>
      <c r="AB23" s="65"/>
      <c r="AC23" s="65"/>
      <c r="AD23" s="65"/>
      <c r="AE23" s="65">
        <v>46.6</v>
      </c>
      <c r="AF23" s="65">
        <v>62</v>
      </c>
      <c r="AG23" s="65">
        <v>74.400000000000006</v>
      </c>
      <c r="AH23" s="65"/>
      <c r="AI23" s="67"/>
      <c r="AJ23" s="67"/>
      <c r="AK23" s="67"/>
      <c r="AL23" s="65"/>
      <c r="AM23" s="67"/>
      <c r="AN23" s="67">
        <v>87818</v>
      </c>
      <c r="AO23" s="67"/>
      <c r="AP23" s="65"/>
      <c r="AQ23" s="66"/>
      <c r="AR23" s="118"/>
    </row>
    <row r="24" spans="1:44" x14ac:dyDescent="0.25">
      <c r="A24" s="16" t="s">
        <v>362</v>
      </c>
      <c r="B24" s="11" t="s">
        <v>573</v>
      </c>
      <c r="C24" s="126" t="s">
        <v>367</v>
      </c>
      <c r="D24" s="67">
        <v>420541</v>
      </c>
      <c r="E24" s="67">
        <v>233759</v>
      </c>
      <c r="F24" s="67">
        <v>0</v>
      </c>
      <c r="G24" s="67">
        <v>0</v>
      </c>
      <c r="H24" s="67">
        <v>4</v>
      </c>
      <c r="I24" s="140">
        <v>0.46741930875463245</v>
      </c>
      <c r="J24" s="140">
        <v>0.125</v>
      </c>
      <c r="K24" s="67" t="s">
        <v>702</v>
      </c>
      <c r="L24" s="65">
        <v>0.41699999999999998</v>
      </c>
      <c r="M24" s="65">
        <v>0.1659003</v>
      </c>
      <c r="N24" s="65"/>
      <c r="O24"/>
      <c r="P24" s="67"/>
      <c r="Q24" s="67"/>
      <c r="R24" s="67"/>
      <c r="S24" s="65"/>
      <c r="T24" s="65"/>
      <c r="U24" s="65"/>
      <c r="V24" s="65">
        <v>22</v>
      </c>
      <c r="W24" s="118"/>
      <c r="X24" s="65"/>
      <c r="Y24" s="65"/>
      <c r="Z24" s="65"/>
      <c r="AA24" s="67">
        <v>0</v>
      </c>
      <c r="AB24" s="65"/>
      <c r="AC24" s="65"/>
      <c r="AD24" s="65"/>
      <c r="AE24" s="65">
        <v>72.3</v>
      </c>
      <c r="AF24" s="65">
        <v>63.6</v>
      </c>
      <c r="AG24" s="65">
        <v>93.6</v>
      </c>
      <c r="AH24" s="65"/>
      <c r="AI24" s="67"/>
      <c r="AJ24" s="67"/>
      <c r="AK24" s="67"/>
      <c r="AL24" s="65"/>
      <c r="AM24" s="67"/>
      <c r="AN24" s="67">
        <v>455962</v>
      </c>
      <c r="AO24" s="67"/>
      <c r="AP24" s="65"/>
      <c r="AQ24" s="66"/>
      <c r="AR24" s="118"/>
    </row>
    <row r="25" spans="1:44" x14ac:dyDescent="0.25">
      <c r="A25" s="16" t="s">
        <v>368</v>
      </c>
      <c r="B25" s="11" t="s">
        <v>573</v>
      </c>
      <c r="C25" s="126" t="s">
        <v>369</v>
      </c>
      <c r="D25" s="67">
        <v>0</v>
      </c>
      <c r="E25" s="67">
        <v>12601</v>
      </c>
      <c r="F25" s="67">
        <v>0</v>
      </c>
      <c r="G25" s="67">
        <v>0</v>
      </c>
      <c r="H25" s="67">
        <v>1</v>
      </c>
      <c r="I25" s="140">
        <v>0.46741930875463245</v>
      </c>
      <c r="J25" s="140">
        <v>0.214</v>
      </c>
      <c r="K25" s="67" t="s">
        <v>702</v>
      </c>
      <c r="L25" s="65">
        <v>0.44600000000000001</v>
      </c>
      <c r="M25" s="65">
        <v>0.15695700000000001</v>
      </c>
      <c r="N25" s="65"/>
      <c r="O25"/>
      <c r="P25" s="67"/>
      <c r="Q25" s="67"/>
      <c r="R25" s="67"/>
      <c r="S25" s="65"/>
      <c r="T25" s="65"/>
      <c r="U25" s="65"/>
      <c r="V25" s="65">
        <v>59</v>
      </c>
      <c r="W25" s="118"/>
      <c r="X25" s="65"/>
      <c r="Y25" s="65"/>
      <c r="Z25" s="65"/>
      <c r="AA25" s="67">
        <v>0</v>
      </c>
      <c r="AB25" s="65"/>
      <c r="AC25" s="65"/>
      <c r="AD25" s="65"/>
      <c r="AE25" s="65">
        <v>46.6</v>
      </c>
      <c r="AF25" s="65">
        <v>62</v>
      </c>
      <c r="AG25" s="65">
        <v>74.400000000000006</v>
      </c>
      <c r="AH25" s="65"/>
      <c r="AI25" s="67"/>
      <c r="AJ25" s="67"/>
      <c r="AK25" s="67"/>
      <c r="AL25" s="65"/>
      <c r="AM25" s="67"/>
      <c r="AN25" s="67">
        <v>24688</v>
      </c>
      <c r="AO25" s="67"/>
      <c r="AP25" s="65"/>
      <c r="AQ25" s="66"/>
      <c r="AR25" s="118"/>
    </row>
    <row r="26" spans="1:44" x14ac:dyDescent="0.25">
      <c r="A26" s="16" t="s">
        <v>370</v>
      </c>
      <c r="B26" s="11" t="s">
        <v>573</v>
      </c>
      <c r="C26" s="126" t="s">
        <v>371</v>
      </c>
      <c r="D26" s="67">
        <v>203</v>
      </c>
      <c r="E26" s="67">
        <v>70078</v>
      </c>
      <c r="F26" s="67">
        <v>0</v>
      </c>
      <c r="G26" s="67">
        <v>0</v>
      </c>
      <c r="H26" s="67">
        <v>8</v>
      </c>
      <c r="I26" s="140">
        <v>0.46741930875463245</v>
      </c>
      <c r="J26" s="140">
        <v>0.214</v>
      </c>
      <c r="K26" s="67" t="s">
        <v>702</v>
      </c>
      <c r="L26" s="65">
        <v>0.44600000000000001</v>
      </c>
      <c r="M26" s="65">
        <v>0.15695700000000001</v>
      </c>
      <c r="N26" s="65"/>
      <c r="O26"/>
      <c r="P26" s="67"/>
      <c r="Q26" s="67"/>
      <c r="R26" s="67"/>
      <c r="S26" s="65"/>
      <c r="T26" s="65"/>
      <c r="U26" s="65"/>
      <c r="V26" s="65">
        <v>0</v>
      </c>
      <c r="W26" s="118"/>
      <c r="X26" s="65"/>
      <c r="Y26" s="65"/>
      <c r="Z26" s="65"/>
      <c r="AA26" s="67">
        <v>0</v>
      </c>
      <c r="AB26" s="65"/>
      <c r="AC26" s="65"/>
      <c r="AD26" s="65"/>
      <c r="AE26" s="65">
        <v>46.6</v>
      </c>
      <c r="AF26" s="65">
        <v>62</v>
      </c>
      <c r="AG26" s="65">
        <v>74.400000000000006</v>
      </c>
      <c r="AH26" s="65"/>
      <c r="AI26" s="67"/>
      <c r="AJ26" s="67"/>
      <c r="AK26" s="67"/>
      <c r="AL26" s="65"/>
      <c r="AM26" s="67"/>
      <c r="AN26" s="67">
        <v>78885</v>
      </c>
      <c r="AO26" s="67"/>
      <c r="AP26" s="65"/>
      <c r="AQ26" s="66"/>
      <c r="AR26" s="118"/>
    </row>
    <row r="27" spans="1:44" x14ac:dyDescent="0.25">
      <c r="A27" s="16" t="s">
        <v>373</v>
      </c>
      <c r="B27" s="11" t="s">
        <v>574</v>
      </c>
      <c r="C27" s="126" t="s">
        <v>374</v>
      </c>
      <c r="D27" s="67">
        <v>0</v>
      </c>
      <c r="E27" s="67">
        <v>131</v>
      </c>
      <c r="F27" s="67">
        <v>0</v>
      </c>
      <c r="G27" s="67">
        <v>0</v>
      </c>
      <c r="H27" s="67">
        <v>10</v>
      </c>
      <c r="I27" s="140">
        <v>0.3809510417112415</v>
      </c>
      <c r="J27" s="67" t="s">
        <v>702</v>
      </c>
      <c r="K27" s="67" t="s">
        <v>702</v>
      </c>
      <c r="L27" s="65" t="s">
        <v>586</v>
      </c>
      <c r="M27" s="65" t="s">
        <v>586</v>
      </c>
      <c r="N27" s="65"/>
      <c r="O27"/>
      <c r="P27" s="67"/>
      <c r="Q27" s="67"/>
      <c r="R27" s="67"/>
      <c r="S27" s="65"/>
      <c r="T27" s="65"/>
      <c r="U27" s="65"/>
      <c r="V27" s="65" t="s">
        <v>586</v>
      </c>
      <c r="W27" s="118"/>
      <c r="X27" s="65"/>
      <c r="Y27" s="65"/>
      <c r="Z27" s="65"/>
      <c r="AA27" s="67"/>
      <c r="AB27" s="65"/>
      <c r="AC27" s="65"/>
      <c r="AD27" s="65"/>
      <c r="AE27" s="65">
        <v>32.5</v>
      </c>
      <c r="AF27" s="65">
        <v>13.2</v>
      </c>
      <c r="AG27" s="65">
        <v>60.2</v>
      </c>
      <c r="AH27" s="65"/>
      <c r="AI27" s="67"/>
      <c r="AJ27" s="67"/>
      <c r="AK27" s="67"/>
      <c r="AL27" s="65"/>
      <c r="AM27" s="67"/>
      <c r="AN27" s="67">
        <v>904222</v>
      </c>
      <c r="AO27" s="67"/>
      <c r="AP27" s="65"/>
      <c r="AQ27" s="66"/>
      <c r="AR27" s="118"/>
    </row>
    <row r="28" spans="1:44" x14ac:dyDescent="0.25">
      <c r="A28" s="16" t="s">
        <v>375</v>
      </c>
      <c r="B28" s="11" t="s">
        <v>574</v>
      </c>
      <c r="C28" s="126" t="s">
        <v>376</v>
      </c>
      <c r="D28" s="67">
        <v>1605</v>
      </c>
      <c r="E28" s="67">
        <v>1198</v>
      </c>
      <c r="F28" s="67">
        <v>0</v>
      </c>
      <c r="G28" s="67">
        <v>0</v>
      </c>
      <c r="H28" s="67">
        <v>80</v>
      </c>
      <c r="I28" s="140">
        <v>0.3809510417112415</v>
      </c>
      <c r="J28" s="67" t="s">
        <v>702</v>
      </c>
      <c r="K28" s="67" t="s">
        <v>702</v>
      </c>
      <c r="L28" s="65" t="s">
        <v>586</v>
      </c>
      <c r="M28" s="65" t="s">
        <v>586</v>
      </c>
      <c r="N28" s="65"/>
      <c r="O28"/>
      <c r="P28" s="67"/>
      <c r="Q28" s="67"/>
      <c r="R28" s="67"/>
      <c r="S28" s="65"/>
      <c r="T28" s="65"/>
      <c r="U28" s="65"/>
      <c r="V28" s="65" t="s">
        <v>586</v>
      </c>
      <c r="W28" s="118"/>
      <c r="X28" s="65"/>
      <c r="Y28" s="65"/>
      <c r="Z28" s="65"/>
      <c r="AA28" s="67"/>
      <c r="AB28" s="65"/>
      <c r="AC28" s="65"/>
      <c r="AD28" s="65"/>
      <c r="AE28" s="65">
        <v>32.5</v>
      </c>
      <c r="AF28" s="65">
        <v>13.2</v>
      </c>
      <c r="AG28" s="65">
        <v>60.2</v>
      </c>
      <c r="AH28" s="65"/>
      <c r="AI28" s="67"/>
      <c r="AJ28" s="67"/>
      <c r="AK28" s="67"/>
      <c r="AL28" s="65"/>
      <c r="AM28" s="67"/>
      <c r="AN28" s="67">
        <v>1640736</v>
      </c>
      <c r="AO28" s="67"/>
      <c r="AP28" s="65"/>
      <c r="AQ28" s="66"/>
      <c r="AR28" s="118"/>
    </row>
    <row r="29" spans="1:44" x14ac:dyDescent="0.25">
      <c r="A29" s="16" t="s">
        <v>377</v>
      </c>
      <c r="B29" s="11" t="s">
        <v>574</v>
      </c>
      <c r="C29" s="126" t="s">
        <v>378</v>
      </c>
      <c r="D29" s="67">
        <v>5</v>
      </c>
      <c r="E29" s="67">
        <v>2308</v>
      </c>
      <c r="F29" s="67">
        <v>0</v>
      </c>
      <c r="G29" s="67">
        <v>0</v>
      </c>
      <c r="H29" s="67">
        <v>0</v>
      </c>
      <c r="I29" s="140">
        <v>0.3809510417112415</v>
      </c>
      <c r="J29" s="67" t="s">
        <v>702</v>
      </c>
      <c r="K29" s="67" t="s">
        <v>702</v>
      </c>
      <c r="L29" s="65" t="s">
        <v>586</v>
      </c>
      <c r="M29" s="65" t="s">
        <v>586</v>
      </c>
      <c r="N29" s="65"/>
      <c r="O29"/>
      <c r="P29" s="67"/>
      <c r="Q29" s="67"/>
      <c r="R29" s="67"/>
      <c r="S29" s="65"/>
      <c r="T29" s="65"/>
      <c r="U29" s="65"/>
      <c r="V29" s="65" t="s">
        <v>586</v>
      </c>
      <c r="W29" s="118"/>
      <c r="X29" s="65"/>
      <c r="Y29" s="65"/>
      <c r="Z29" s="65"/>
      <c r="AA29" s="67"/>
      <c r="AB29" s="65"/>
      <c r="AC29" s="65"/>
      <c r="AD29" s="65"/>
      <c r="AE29" s="65">
        <v>32.5</v>
      </c>
      <c r="AF29" s="65">
        <v>13.2</v>
      </c>
      <c r="AG29" s="65">
        <v>60.2</v>
      </c>
      <c r="AH29" s="65"/>
      <c r="AI29" s="67"/>
      <c r="AJ29" s="67"/>
      <c r="AK29" s="67"/>
      <c r="AL29" s="65"/>
      <c r="AM29" s="67"/>
      <c r="AN29" s="67">
        <v>130985</v>
      </c>
      <c r="AO29" s="67"/>
      <c r="AP29" s="65"/>
      <c r="AQ29" s="66"/>
      <c r="AR29" s="118"/>
    </row>
    <row r="30" spans="1:44" x14ac:dyDescent="0.25">
      <c r="A30" s="16" t="s">
        <v>379</v>
      </c>
      <c r="B30" s="11" t="s">
        <v>574</v>
      </c>
      <c r="C30" s="126" t="s">
        <v>380</v>
      </c>
      <c r="D30" s="67">
        <v>6258</v>
      </c>
      <c r="E30" s="67">
        <v>227</v>
      </c>
      <c r="F30" s="67">
        <v>0</v>
      </c>
      <c r="G30" s="67">
        <v>0</v>
      </c>
      <c r="H30" s="67">
        <v>0</v>
      </c>
      <c r="I30" s="140">
        <v>0.3809510417112415</v>
      </c>
      <c r="J30" s="67" t="s">
        <v>702</v>
      </c>
      <c r="K30" s="67" t="s">
        <v>702</v>
      </c>
      <c r="L30" s="65" t="s">
        <v>586</v>
      </c>
      <c r="M30" s="65" t="s">
        <v>586</v>
      </c>
      <c r="N30" s="65"/>
      <c r="O30"/>
      <c r="P30" s="67"/>
      <c r="Q30" s="67"/>
      <c r="R30" s="67"/>
      <c r="S30" s="65"/>
      <c r="T30" s="65"/>
      <c r="U30" s="65"/>
      <c r="V30" s="65" t="s">
        <v>586</v>
      </c>
      <c r="W30" s="118"/>
      <c r="X30" s="65"/>
      <c r="Y30" s="65"/>
      <c r="Z30" s="65"/>
      <c r="AA30" s="67"/>
      <c r="AB30" s="65"/>
      <c r="AC30" s="65"/>
      <c r="AD30" s="65"/>
      <c r="AE30" s="65">
        <v>32.5</v>
      </c>
      <c r="AF30" s="65">
        <v>13.2</v>
      </c>
      <c r="AG30" s="65">
        <v>60.2</v>
      </c>
      <c r="AH30" s="65"/>
      <c r="AI30" s="67"/>
      <c r="AJ30" s="67"/>
      <c r="AK30" s="67"/>
      <c r="AL30" s="65"/>
      <c r="AM30" s="67"/>
      <c r="AN30" s="67">
        <v>1393025</v>
      </c>
      <c r="AO30" s="67"/>
      <c r="AP30" s="65"/>
      <c r="AQ30" s="66"/>
      <c r="AR30" s="118"/>
    </row>
    <row r="31" spans="1:44" x14ac:dyDescent="0.25">
      <c r="A31" s="16" t="s">
        <v>381</v>
      </c>
      <c r="B31" s="11" t="s">
        <v>574</v>
      </c>
      <c r="C31" s="126" t="s">
        <v>382</v>
      </c>
      <c r="D31" s="67">
        <v>0</v>
      </c>
      <c r="E31" s="67">
        <v>0</v>
      </c>
      <c r="F31" s="67">
        <v>0</v>
      </c>
      <c r="G31" s="67">
        <v>0</v>
      </c>
      <c r="H31" s="67">
        <v>0</v>
      </c>
      <c r="I31" s="140">
        <v>0.3809510417112415</v>
      </c>
      <c r="J31" s="67" t="s">
        <v>702</v>
      </c>
      <c r="K31" s="67" t="s">
        <v>702</v>
      </c>
      <c r="L31" s="65" t="s">
        <v>586</v>
      </c>
      <c r="M31" s="65" t="s">
        <v>586</v>
      </c>
      <c r="N31" s="65"/>
      <c r="O31"/>
      <c r="P31" s="67"/>
      <c r="Q31" s="67"/>
      <c r="R31" s="67"/>
      <c r="S31" s="65"/>
      <c r="T31" s="65"/>
      <c r="U31" s="65"/>
      <c r="V31" s="65" t="s">
        <v>586</v>
      </c>
      <c r="W31" s="118"/>
      <c r="X31" s="65"/>
      <c r="Y31" s="65"/>
      <c r="Z31" s="65"/>
      <c r="AA31" s="67"/>
      <c r="AB31" s="65"/>
      <c r="AC31" s="65"/>
      <c r="AD31" s="65"/>
      <c r="AE31" s="65">
        <v>32.5</v>
      </c>
      <c r="AF31" s="65">
        <v>13.2</v>
      </c>
      <c r="AG31" s="65">
        <v>60.2</v>
      </c>
      <c r="AH31" s="65"/>
      <c r="AI31" s="67"/>
      <c r="AJ31" s="67"/>
      <c r="AK31" s="67"/>
      <c r="AL31" s="65"/>
      <c r="AM31" s="67"/>
      <c r="AN31" s="67">
        <v>1185824</v>
      </c>
      <c r="AO31" s="67"/>
      <c r="AP31" s="65"/>
      <c r="AQ31" s="66"/>
      <c r="AR31" s="118"/>
    </row>
    <row r="32" spans="1:44" x14ac:dyDescent="0.25">
      <c r="A32" s="16" t="s">
        <v>383</v>
      </c>
      <c r="B32" s="11" t="s">
        <v>574</v>
      </c>
      <c r="C32" s="126" t="s">
        <v>384</v>
      </c>
      <c r="D32" s="67">
        <v>1144</v>
      </c>
      <c r="E32" s="67">
        <v>4018</v>
      </c>
      <c r="F32" s="67">
        <v>0</v>
      </c>
      <c r="G32" s="67">
        <v>3</v>
      </c>
      <c r="H32" s="67" t="s">
        <v>586</v>
      </c>
      <c r="I32" s="140">
        <v>0.3809510417112415</v>
      </c>
      <c r="J32" s="67" t="s">
        <v>702</v>
      </c>
      <c r="K32" s="67" t="s">
        <v>702</v>
      </c>
      <c r="L32" s="65" t="s">
        <v>586</v>
      </c>
      <c r="M32" s="65" t="s">
        <v>586</v>
      </c>
      <c r="N32" s="65"/>
      <c r="O32"/>
      <c r="P32" s="67"/>
      <c r="Q32" s="67"/>
      <c r="R32" s="67"/>
      <c r="S32" s="65"/>
      <c r="T32" s="65"/>
      <c r="U32" s="65"/>
      <c r="V32" s="65" t="s">
        <v>586</v>
      </c>
      <c r="W32" s="118"/>
      <c r="X32" s="65"/>
      <c r="Y32" s="65"/>
      <c r="Z32" s="65"/>
      <c r="AA32" s="67"/>
      <c r="AB32" s="65"/>
      <c r="AC32" s="65"/>
      <c r="AD32" s="65"/>
      <c r="AE32" s="65">
        <v>32.5</v>
      </c>
      <c r="AF32" s="65">
        <v>13.2</v>
      </c>
      <c r="AG32" s="65">
        <v>60.2</v>
      </c>
      <c r="AH32" s="65"/>
      <c r="AI32" s="67"/>
      <c r="AJ32" s="67"/>
      <c r="AK32" s="67"/>
      <c r="AL32" s="65"/>
      <c r="AM32" s="67"/>
      <c r="AN32" s="67">
        <v>997938</v>
      </c>
      <c r="AO32" s="67"/>
      <c r="AP32" s="65"/>
      <c r="AQ32" s="66"/>
      <c r="AR32" s="118"/>
    </row>
    <row r="33" spans="1:44" x14ac:dyDescent="0.25">
      <c r="A33" s="16" t="s">
        <v>386</v>
      </c>
      <c r="B33" s="11" t="s">
        <v>575</v>
      </c>
      <c r="C33" s="126" t="s">
        <v>387</v>
      </c>
      <c r="D33" s="67">
        <v>0</v>
      </c>
      <c r="E33" s="67">
        <v>0</v>
      </c>
      <c r="F33" s="67">
        <v>0</v>
      </c>
      <c r="G33" s="67">
        <v>3</v>
      </c>
      <c r="H33" s="67">
        <v>53</v>
      </c>
      <c r="I33" s="140">
        <v>0.43513944935418319</v>
      </c>
      <c r="J33" s="140">
        <v>8.4880399999999995E-2</v>
      </c>
      <c r="K33" s="65">
        <v>0.02</v>
      </c>
      <c r="L33" s="127">
        <v>0.33600000000000002</v>
      </c>
      <c r="M33" s="65">
        <v>8.0671099999999996E-2</v>
      </c>
      <c r="N33" s="65"/>
      <c r="O33"/>
      <c r="P33" s="67"/>
      <c r="Q33" s="67"/>
      <c r="R33" s="67"/>
      <c r="S33" s="65"/>
      <c r="T33" s="65"/>
      <c r="U33" s="65"/>
      <c r="V33" s="65">
        <v>0</v>
      </c>
      <c r="W33" s="118"/>
      <c r="X33" s="65"/>
      <c r="Y33" s="65"/>
      <c r="Z33" s="67">
        <v>0</v>
      </c>
      <c r="AA33" s="67">
        <v>6033</v>
      </c>
      <c r="AB33" s="65"/>
      <c r="AC33" s="65"/>
      <c r="AD33" s="65"/>
      <c r="AE33" s="65">
        <v>98.6</v>
      </c>
      <c r="AF33" s="65">
        <v>25</v>
      </c>
      <c r="AG33" s="65">
        <v>94.3</v>
      </c>
      <c r="AH33" s="65"/>
      <c r="AI33" s="67"/>
      <c r="AJ33" s="67"/>
      <c r="AK33" s="67"/>
      <c r="AL33" s="65"/>
      <c r="AM33" s="67"/>
      <c r="AN33" s="67">
        <v>3685376</v>
      </c>
      <c r="AO33" s="67"/>
      <c r="AP33" s="65"/>
      <c r="AQ33" s="66"/>
      <c r="AR33" s="118"/>
    </row>
    <row r="34" spans="1:44" x14ac:dyDescent="0.25">
      <c r="A34" s="16" t="s">
        <v>388</v>
      </c>
      <c r="B34" s="11" t="s">
        <v>575</v>
      </c>
      <c r="C34" s="126" t="s">
        <v>389</v>
      </c>
      <c r="D34" s="67">
        <v>395175</v>
      </c>
      <c r="E34" s="67">
        <v>802249</v>
      </c>
      <c r="F34" s="67">
        <v>30874</v>
      </c>
      <c r="G34" s="67">
        <v>0</v>
      </c>
      <c r="H34" s="67">
        <v>23</v>
      </c>
      <c r="I34" s="140">
        <v>0.43513944935418319</v>
      </c>
      <c r="J34" s="140">
        <v>0.66262359999999998</v>
      </c>
      <c r="K34" s="65">
        <v>0.28999999999999998</v>
      </c>
      <c r="L34" s="127">
        <v>0.33600000000000002</v>
      </c>
      <c r="M34" s="65">
        <v>0.33162079999999999</v>
      </c>
      <c r="N34" s="65"/>
      <c r="O34"/>
      <c r="P34" s="67"/>
      <c r="Q34" s="67"/>
      <c r="R34" s="67"/>
      <c r="S34" s="65"/>
      <c r="T34" s="65"/>
      <c r="U34" s="65"/>
      <c r="V34" s="164">
        <f>72825/AN34*100</f>
        <v>3.9725443048470219</v>
      </c>
      <c r="W34" s="118"/>
      <c r="X34" s="65"/>
      <c r="Y34" s="65"/>
      <c r="Z34" s="67">
        <v>105216</v>
      </c>
      <c r="AA34" s="67">
        <v>28565</v>
      </c>
      <c r="AB34" s="65"/>
      <c r="AC34" s="65"/>
      <c r="AD34" s="65"/>
      <c r="AE34" s="65">
        <v>25</v>
      </c>
      <c r="AF34" s="65">
        <v>6.9</v>
      </c>
      <c r="AG34" s="65">
        <v>25.5</v>
      </c>
      <c r="AH34" s="65"/>
      <c r="AI34" s="67"/>
      <c r="AJ34" s="67"/>
      <c r="AK34" s="67"/>
      <c r="AL34" s="65"/>
      <c r="AM34" s="67"/>
      <c r="AN34" s="67">
        <v>1833208</v>
      </c>
      <c r="AO34" s="67"/>
      <c r="AP34" s="65"/>
      <c r="AQ34" s="66"/>
      <c r="AR34" s="118"/>
    </row>
    <row r="35" spans="1:44" x14ac:dyDescent="0.25">
      <c r="A35" s="16" t="s">
        <v>390</v>
      </c>
      <c r="B35" s="11" t="s">
        <v>575</v>
      </c>
      <c r="C35" s="126" t="s">
        <v>391</v>
      </c>
      <c r="D35" s="67">
        <v>1541849</v>
      </c>
      <c r="E35" s="67">
        <v>1098995</v>
      </c>
      <c r="F35" s="67">
        <v>261593</v>
      </c>
      <c r="G35" s="67">
        <v>0</v>
      </c>
      <c r="H35" s="67">
        <v>199</v>
      </c>
      <c r="I35" s="140">
        <v>0.43513944935418319</v>
      </c>
      <c r="J35" s="140">
        <v>0.58812050000000005</v>
      </c>
      <c r="K35" s="65">
        <v>0.2</v>
      </c>
      <c r="L35" s="127">
        <v>0.33600000000000002</v>
      </c>
      <c r="M35" s="65">
        <v>0.28128320000000001</v>
      </c>
      <c r="N35" s="65"/>
      <c r="O35"/>
      <c r="P35" s="67"/>
      <c r="Q35" s="67"/>
      <c r="R35" s="67"/>
      <c r="S35" s="65"/>
      <c r="T35" s="65"/>
      <c r="U35" s="65"/>
      <c r="V35" s="65">
        <f>146739/AN34*100</f>
        <v>8.0044926707716755</v>
      </c>
      <c r="W35" s="118"/>
      <c r="X35" s="65"/>
      <c r="Y35" s="65"/>
      <c r="Z35" s="67">
        <v>0</v>
      </c>
      <c r="AA35" s="67">
        <v>0</v>
      </c>
      <c r="AB35" s="65"/>
      <c r="AC35" s="65"/>
      <c r="AD35" s="65"/>
      <c r="AE35" s="65">
        <v>15.5</v>
      </c>
      <c r="AF35" s="65">
        <v>11.7</v>
      </c>
      <c r="AG35" s="65">
        <v>38.6</v>
      </c>
      <c r="AH35" s="65"/>
      <c r="AI35" s="67"/>
      <c r="AJ35" s="67"/>
      <c r="AK35" s="67"/>
      <c r="AL35" s="65"/>
      <c r="AM35" s="67"/>
      <c r="AN35" s="67">
        <v>24217540</v>
      </c>
      <c r="AO35" s="67"/>
      <c r="AP35" s="65"/>
      <c r="AQ35" s="66"/>
      <c r="AR35" s="118"/>
    </row>
    <row r="36" spans="1:44" x14ac:dyDescent="0.25">
      <c r="A36" s="16" t="s">
        <v>392</v>
      </c>
      <c r="B36" s="11" t="s">
        <v>575</v>
      </c>
      <c r="C36" s="126" t="s">
        <v>393</v>
      </c>
      <c r="D36" s="67">
        <v>1415</v>
      </c>
      <c r="E36" s="67">
        <v>0</v>
      </c>
      <c r="F36" s="67">
        <v>49</v>
      </c>
      <c r="G36" s="67">
        <v>0</v>
      </c>
      <c r="H36" s="67">
        <v>21</v>
      </c>
      <c r="I36" s="140">
        <v>0.43513944935418319</v>
      </c>
      <c r="J36" s="140">
        <v>0.58435729999999997</v>
      </c>
      <c r="K36" s="65">
        <v>0.18</v>
      </c>
      <c r="L36" s="127">
        <v>0.33600000000000002</v>
      </c>
      <c r="M36" s="65">
        <v>0.24915029999999999</v>
      </c>
      <c r="N36" s="65"/>
      <c r="O36"/>
      <c r="P36" s="67"/>
      <c r="Q36" s="67"/>
      <c r="R36" s="67"/>
      <c r="S36" s="65"/>
      <c r="T36" s="65"/>
      <c r="U36" s="65"/>
      <c r="V36" s="65">
        <v>0</v>
      </c>
      <c r="W36" s="118"/>
      <c r="X36" s="65"/>
      <c r="Y36" s="65"/>
      <c r="Z36" s="67">
        <v>0</v>
      </c>
      <c r="AA36" s="67">
        <v>45163</v>
      </c>
      <c r="AB36" s="65"/>
      <c r="AC36" s="65"/>
      <c r="AD36" s="65"/>
      <c r="AE36" s="65">
        <v>12.200000000000003</v>
      </c>
      <c r="AF36" s="65">
        <v>6.4</v>
      </c>
      <c r="AG36" s="65">
        <v>47</v>
      </c>
      <c r="AH36" s="65"/>
      <c r="AI36" s="67"/>
      <c r="AJ36" s="67"/>
      <c r="AK36" s="67"/>
      <c r="AL36" s="65"/>
      <c r="AM36" s="67"/>
      <c r="AN36" s="67">
        <v>941229</v>
      </c>
      <c r="AO36" s="67"/>
      <c r="AP36" s="65"/>
      <c r="AQ36" s="66"/>
      <c r="AR36" s="118"/>
    </row>
    <row r="37" spans="1:44" x14ac:dyDescent="0.25">
      <c r="A37" s="16" t="s">
        <v>394</v>
      </c>
      <c r="B37" s="11" t="s">
        <v>575</v>
      </c>
      <c r="C37" s="126" t="s">
        <v>395</v>
      </c>
      <c r="D37" s="67">
        <v>19283</v>
      </c>
      <c r="E37" s="67">
        <v>187042</v>
      </c>
      <c r="F37" s="67">
        <v>0</v>
      </c>
      <c r="G37" s="67">
        <v>0</v>
      </c>
      <c r="H37" s="67">
        <v>0</v>
      </c>
      <c r="I37" s="140">
        <v>0.43513944935418319</v>
      </c>
      <c r="J37" s="140">
        <v>0.33784110000000001</v>
      </c>
      <c r="K37" s="65">
        <v>0.23</v>
      </c>
      <c r="L37" s="127">
        <v>0.33600000000000002</v>
      </c>
      <c r="M37" s="65">
        <v>0.34606999999999999</v>
      </c>
      <c r="N37" s="65"/>
      <c r="O37"/>
      <c r="P37" s="67"/>
      <c r="Q37" s="67"/>
      <c r="R37" s="67"/>
      <c r="S37" s="65"/>
      <c r="T37" s="65"/>
      <c r="U37" s="65"/>
      <c r="V37" s="65">
        <v>0</v>
      </c>
      <c r="W37" s="118"/>
      <c r="X37" s="65"/>
      <c r="Y37" s="65"/>
      <c r="Z37" s="67">
        <v>0</v>
      </c>
      <c r="AA37" s="67">
        <v>0</v>
      </c>
      <c r="AB37" s="65"/>
      <c r="AC37" s="65"/>
      <c r="AD37" s="65"/>
      <c r="AE37" s="65">
        <v>62.3</v>
      </c>
      <c r="AF37" s="65">
        <v>26.4</v>
      </c>
      <c r="AG37" s="65">
        <v>65.8</v>
      </c>
      <c r="AH37" s="65"/>
      <c r="AI37" s="67"/>
      <c r="AJ37" s="67"/>
      <c r="AK37" s="67"/>
      <c r="AL37" s="65"/>
      <c r="AM37" s="67"/>
      <c r="AN37" s="67">
        <v>441930</v>
      </c>
      <c r="AO37" s="67"/>
      <c r="AP37" s="65"/>
      <c r="AQ37" s="66"/>
      <c r="AR37" s="118"/>
    </row>
    <row r="38" spans="1:44" x14ac:dyDescent="0.25">
      <c r="A38" s="16" t="s">
        <v>396</v>
      </c>
      <c r="B38" s="11" t="s">
        <v>575</v>
      </c>
      <c r="C38" s="126" t="s">
        <v>397</v>
      </c>
      <c r="D38" s="67">
        <v>156751</v>
      </c>
      <c r="E38" s="67">
        <v>0</v>
      </c>
      <c r="F38" s="67">
        <v>28</v>
      </c>
      <c r="G38" s="67">
        <v>0</v>
      </c>
      <c r="H38" s="67">
        <v>78</v>
      </c>
      <c r="I38" s="140">
        <v>0.43513944935418319</v>
      </c>
      <c r="J38" s="140">
        <v>0.47436</v>
      </c>
      <c r="K38" s="65">
        <v>0.28999999999999998</v>
      </c>
      <c r="L38" s="127">
        <v>0.33600000000000002</v>
      </c>
      <c r="M38" s="65">
        <v>0.22775609999999999</v>
      </c>
      <c r="N38" s="65"/>
      <c r="O38"/>
      <c r="P38" s="67"/>
      <c r="Q38" s="67"/>
      <c r="R38" s="67"/>
      <c r="S38" s="65"/>
      <c r="T38" s="65"/>
      <c r="U38" s="65"/>
      <c r="V38" s="65">
        <v>0</v>
      </c>
      <c r="W38" s="118"/>
      <c r="X38" s="65"/>
      <c r="Y38" s="65"/>
      <c r="Z38" s="67">
        <v>41489</v>
      </c>
      <c r="AA38" s="67">
        <v>242556</v>
      </c>
      <c r="AB38" s="65"/>
      <c r="AC38" s="65"/>
      <c r="AD38" s="65"/>
      <c r="AE38" s="65">
        <v>20.900000000000006</v>
      </c>
      <c r="AF38" s="65">
        <v>13.3</v>
      </c>
      <c r="AG38" s="65">
        <v>51</v>
      </c>
      <c r="AH38" s="65"/>
      <c r="AI38" s="67"/>
      <c r="AJ38" s="67"/>
      <c r="AK38" s="67"/>
      <c r="AL38" s="65"/>
      <c r="AM38" s="67"/>
      <c r="AN38" s="67">
        <v>313263</v>
      </c>
      <c r="AO38" s="67"/>
      <c r="AP38" s="65"/>
      <c r="AQ38" s="66"/>
      <c r="AR38" s="118"/>
    </row>
    <row r="39" spans="1:44" x14ac:dyDescent="0.25">
      <c r="A39" s="16" t="s">
        <v>398</v>
      </c>
      <c r="B39" s="11" t="s">
        <v>575</v>
      </c>
      <c r="C39" s="126" t="s">
        <v>399</v>
      </c>
      <c r="D39" s="67">
        <v>0</v>
      </c>
      <c r="E39" s="67">
        <v>107871</v>
      </c>
      <c r="F39" s="67">
        <v>0</v>
      </c>
      <c r="G39" s="67">
        <v>0</v>
      </c>
      <c r="H39" s="67">
        <v>8</v>
      </c>
      <c r="I39" s="140">
        <v>0.43513944935418319</v>
      </c>
      <c r="J39" s="140">
        <v>0.33261420000000003</v>
      </c>
      <c r="K39" s="65">
        <v>0.26</v>
      </c>
      <c r="L39" s="127">
        <v>0.33600000000000002</v>
      </c>
      <c r="M39" s="65">
        <v>0.32007819999999998</v>
      </c>
      <c r="N39" s="65"/>
      <c r="O39"/>
      <c r="P39" s="67"/>
      <c r="Q39" s="67"/>
      <c r="R39" s="67"/>
      <c r="S39" s="65"/>
      <c r="T39" s="65"/>
      <c r="U39" s="65"/>
      <c r="V39" s="65">
        <v>0</v>
      </c>
      <c r="W39" s="118"/>
      <c r="X39" s="65"/>
      <c r="Y39" s="65"/>
      <c r="Z39" s="67">
        <v>4580</v>
      </c>
      <c r="AA39" s="67">
        <v>0</v>
      </c>
      <c r="AB39" s="65"/>
      <c r="AC39" s="65"/>
      <c r="AD39" s="65"/>
      <c r="AE39" s="65">
        <v>77.7</v>
      </c>
      <c r="AF39" s="65">
        <v>17.399999999999999</v>
      </c>
      <c r="AG39" s="65">
        <v>58.8</v>
      </c>
      <c r="AH39" s="65"/>
      <c r="AI39" s="67"/>
      <c r="AJ39" s="67"/>
      <c r="AK39" s="67"/>
      <c r="AL39" s="65"/>
      <c r="AM39" s="67"/>
      <c r="AN39" s="67">
        <v>232997</v>
      </c>
      <c r="AO39" s="67"/>
      <c r="AP39" s="65"/>
      <c r="AQ39" s="66"/>
      <c r="AR39" s="118"/>
    </row>
    <row r="40" spans="1:44" x14ac:dyDescent="0.25">
      <c r="A40" s="16" t="s">
        <v>400</v>
      </c>
      <c r="B40" s="11" t="s">
        <v>575</v>
      </c>
      <c r="C40" s="126" t="s">
        <v>401</v>
      </c>
      <c r="D40" s="67">
        <v>1212769</v>
      </c>
      <c r="E40" s="67">
        <v>4445915</v>
      </c>
      <c r="F40" s="67">
        <v>2819850</v>
      </c>
      <c r="G40" s="67">
        <v>3</v>
      </c>
      <c r="H40" s="67">
        <v>408</v>
      </c>
      <c r="I40" s="140">
        <v>0.43513944935418319</v>
      </c>
      <c r="J40" s="140">
        <v>0.59150910000000001</v>
      </c>
      <c r="K40" s="65">
        <v>0.19</v>
      </c>
      <c r="L40" s="127">
        <v>0.33600000000000002</v>
      </c>
      <c r="M40" s="65">
        <v>0.2849836</v>
      </c>
      <c r="N40" s="65"/>
      <c r="O40"/>
      <c r="P40" s="67"/>
      <c r="Q40" s="67"/>
      <c r="R40" s="67"/>
      <c r="S40" s="65"/>
      <c r="T40" s="65"/>
      <c r="U40" s="65"/>
      <c r="V40" s="65">
        <f>242981/AN40*100</f>
        <v>0.73601129923240438</v>
      </c>
      <c r="W40" s="118"/>
      <c r="X40" s="65"/>
      <c r="Y40" s="65"/>
      <c r="Z40" s="67">
        <v>145006</v>
      </c>
      <c r="AA40" s="67">
        <v>3107</v>
      </c>
      <c r="AB40" s="65"/>
      <c r="AC40" s="65"/>
      <c r="AD40" s="65"/>
      <c r="AE40" s="65">
        <v>14.200000000000003</v>
      </c>
      <c r="AF40" s="65">
        <v>6</v>
      </c>
      <c r="AG40" s="65">
        <v>25.4</v>
      </c>
      <c r="AH40" s="65"/>
      <c r="AI40" s="67"/>
      <c r="AJ40" s="67"/>
      <c r="AK40" s="67"/>
      <c r="AL40" s="65"/>
      <c r="AM40" s="67"/>
      <c r="AN40" s="67">
        <v>33013216</v>
      </c>
      <c r="AO40" s="67"/>
      <c r="AP40" s="65"/>
      <c r="AQ40" s="66"/>
      <c r="AR40" s="118"/>
    </row>
    <row r="41" spans="1:44" x14ac:dyDescent="0.25">
      <c r="A41" s="16" t="s">
        <v>402</v>
      </c>
      <c r="B41" s="11" t="s">
        <v>575</v>
      </c>
      <c r="C41" s="126" t="s">
        <v>403</v>
      </c>
      <c r="D41" s="67">
        <v>1048020</v>
      </c>
      <c r="E41" s="67">
        <v>471659</v>
      </c>
      <c r="F41" s="67">
        <v>2320228</v>
      </c>
      <c r="G41" s="67">
        <v>0</v>
      </c>
      <c r="H41" s="67">
        <v>83</v>
      </c>
      <c r="I41" s="140">
        <v>0.43513944935418319</v>
      </c>
      <c r="J41" s="140">
        <v>0.57383169999999994</v>
      </c>
      <c r="K41" s="65">
        <v>0.17</v>
      </c>
      <c r="L41" s="127">
        <v>0.33600000000000002</v>
      </c>
      <c r="M41" s="65">
        <v>0.29921609999999998</v>
      </c>
      <c r="N41" s="65"/>
      <c r="O41"/>
      <c r="P41" s="67"/>
      <c r="Q41" s="67"/>
      <c r="R41" s="67"/>
      <c r="S41" s="65"/>
      <c r="T41" s="65"/>
      <c r="U41" s="65"/>
      <c r="V41" s="65">
        <f>45000/AN41*100</f>
        <v>0.24939082135370669</v>
      </c>
      <c r="W41" s="118"/>
      <c r="X41" s="65"/>
      <c r="Y41" s="65"/>
      <c r="Z41" s="67">
        <v>63476</v>
      </c>
      <c r="AA41" s="67">
        <v>0</v>
      </c>
      <c r="AB41" s="65"/>
      <c r="AC41" s="65"/>
      <c r="AD41" s="65"/>
      <c r="AE41" s="65">
        <v>14</v>
      </c>
      <c r="AF41" s="65">
        <v>6.7</v>
      </c>
      <c r="AG41" s="65">
        <v>24.2</v>
      </c>
      <c r="AH41" s="65"/>
      <c r="AI41" s="67"/>
      <c r="AJ41" s="67"/>
      <c r="AK41" s="67"/>
      <c r="AL41" s="65"/>
      <c r="AM41" s="67"/>
      <c r="AN41" s="67">
        <v>18043968</v>
      </c>
      <c r="AO41" s="67"/>
      <c r="AP41" s="65"/>
      <c r="AQ41" s="66"/>
      <c r="AR41" s="118"/>
    </row>
    <row r="42" spans="1:44" x14ac:dyDescent="0.25">
      <c r="A42" s="16" t="s">
        <v>404</v>
      </c>
      <c r="B42" s="11" t="s">
        <v>575</v>
      </c>
      <c r="C42" s="126" t="s">
        <v>405</v>
      </c>
      <c r="D42" s="67">
        <v>240336</v>
      </c>
      <c r="E42" s="67">
        <v>3126080</v>
      </c>
      <c r="F42" s="67">
        <v>0</v>
      </c>
      <c r="G42" s="67">
        <v>3</v>
      </c>
      <c r="H42" s="67">
        <v>936</v>
      </c>
      <c r="I42" s="140">
        <v>0.43513944935418319</v>
      </c>
      <c r="J42" s="140">
        <v>0.64734950000000002</v>
      </c>
      <c r="K42" s="65">
        <v>0.2</v>
      </c>
      <c r="L42" s="127">
        <v>0.33600000000000002</v>
      </c>
      <c r="M42" s="65">
        <v>0.27942899999999998</v>
      </c>
      <c r="N42" s="65"/>
      <c r="O42"/>
      <c r="P42" s="67"/>
      <c r="Q42" s="67"/>
      <c r="R42" s="67"/>
      <c r="S42" s="65"/>
      <c r="T42" s="65"/>
      <c r="U42" s="65"/>
      <c r="V42" s="65">
        <v>0</v>
      </c>
      <c r="W42" s="118"/>
      <c r="X42" s="65"/>
      <c r="Y42" s="65"/>
      <c r="Z42" s="67">
        <v>475192</v>
      </c>
      <c r="AA42" s="67">
        <v>244007</v>
      </c>
      <c r="AB42" s="65"/>
      <c r="AC42" s="65"/>
      <c r="AD42" s="65"/>
      <c r="AE42" s="65">
        <v>18.700000000000003</v>
      </c>
      <c r="AF42" s="65">
        <v>12.6</v>
      </c>
      <c r="AG42" s="65">
        <v>20.9</v>
      </c>
      <c r="AH42" s="65"/>
      <c r="AI42" s="67"/>
      <c r="AJ42" s="67"/>
      <c r="AK42" s="67"/>
      <c r="AL42" s="65"/>
      <c r="AM42" s="67"/>
      <c r="AN42" s="67">
        <v>5707987</v>
      </c>
      <c r="AO42" s="67"/>
      <c r="AP42" s="65"/>
      <c r="AQ42" s="66"/>
      <c r="AR42" s="118"/>
    </row>
    <row r="43" spans="1:44" x14ac:dyDescent="0.25">
      <c r="A43" s="16" t="s">
        <v>406</v>
      </c>
      <c r="B43" s="11" t="s">
        <v>575</v>
      </c>
      <c r="C43" s="126" t="s">
        <v>407</v>
      </c>
      <c r="D43" s="67">
        <v>113637</v>
      </c>
      <c r="E43" s="67">
        <v>1242376</v>
      </c>
      <c r="F43" s="67">
        <v>0</v>
      </c>
      <c r="G43" s="67">
        <v>0</v>
      </c>
      <c r="H43" s="67">
        <v>27</v>
      </c>
      <c r="I43" s="140">
        <v>0.43513944935418319</v>
      </c>
      <c r="J43" s="140">
        <v>0.53738900000000001</v>
      </c>
      <c r="K43" s="65">
        <v>0.26</v>
      </c>
      <c r="L43" s="127">
        <v>0.33600000000000002</v>
      </c>
      <c r="M43" s="65">
        <v>0.27521950000000001</v>
      </c>
      <c r="N43" s="65"/>
      <c r="O43"/>
      <c r="P43" s="67"/>
      <c r="Q43" s="67"/>
      <c r="R43" s="67"/>
      <c r="S43" s="65"/>
      <c r="T43" s="65"/>
      <c r="U43" s="65"/>
      <c r="V43" s="65">
        <f>70372/AN43*100</f>
        <v>1.3036134463432987</v>
      </c>
      <c r="W43" s="118"/>
      <c r="X43" s="65"/>
      <c r="Y43" s="65"/>
      <c r="Z43" s="67">
        <v>0</v>
      </c>
      <c r="AA43" s="67">
        <v>91556</v>
      </c>
      <c r="AB43" s="65"/>
      <c r="AC43" s="65"/>
      <c r="AD43" s="65"/>
      <c r="AE43" s="65">
        <v>21.299999999999997</v>
      </c>
      <c r="AF43" s="65">
        <v>10.4</v>
      </c>
      <c r="AG43" s="65">
        <v>45.3</v>
      </c>
      <c r="AH43" s="65"/>
      <c r="AI43" s="67"/>
      <c r="AJ43" s="67"/>
      <c r="AK43" s="67"/>
      <c r="AL43" s="65"/>
      <c r="AM43" s="67"/>
      <c r="AN43" s="67">
        <v>5398226</v>
      </c>
      <c r="AO43" s="67"/>
      <c r="AP43" s="65"/>
      <c r="AQ43" s="66"/>
      <c r="AR43" s="118"/>
    </row>
    <row r="44" spans="1:44" x14ac:dyDescent="0.25">
      <c r="A44" s="16" t="s">
        <v>409</v>
      </c>
      <c r="B44" s="11" t="s">
        <v>576</v>
      </c>
      <c r="C44" s="126" t="s">
        <v>634</v>
      </c>
      <c r="D44" s="67">
        <v>168701</v>
      </c>
      <c r="E44" s="67">
        <v>1888</v>
      </c>
      <c r="F44" s="67">
        <v>24412</v>
      </c>
      <c r="G44" s="67">
        <v>4</v>
      </c>
      <c r="H44" s="67">
        <v>79</v>
      </c>
      <c r="I44" s="140">
        <v>0.51080000000000003</v>
      </c>
      <c r="J44" s="140">
        <v>0.2498022</v>
      </c>
      <c r="K44" s="65">
        <v>0.58240000000000003</v>
      </c>
      <c r="L44" s="65">
        <v>0.35600000000000004</v>
      </c>
      <c r="M44" s="65">
        <v>0.23819850000000001</v>
      </c>
      <c r="N44" s="65"/>
      <c r="O44"/>
      <c r="P44" s="67"/>
      <c r="Q44" s="67"/>
      <c r="R44" s="67"/>
      <c r="S44" s="65"/>
      <c r="T44" s="65"/>
      <c r="U44" s="65"/>
      <c r="V44" s="65">
        <v>13</v>
      </c>
      <c r="W44" s="118"/>
      <c r="X44" s="65"/>
      <c r="Y44" s="65"/>
      <c r="Z44" s="67"/>
      <c r="AA44" s="67">
        <v>0</v>
      </c>
      <c r="AB44" s="65"/>
      <c r="AC44" s="65"/>
      <c r="AD44" s="65"/>
      <c r="AE44" s="65">
        <v>16.200000000000003</v>
      </c>
      <c r="AF44" s="65">
        <v>23</v>
      </c>
      <c r="AG44" s="65">
        <v>47.8</v>
      </c>
      <c r="AH44" s="65"/>
      <c r="AI44" s="67"/>
      <c r="AJ44" s="67"/>
      <c r="AK44" s="67"/>
      <c r="AL44" s="65"/>
      <c r="AM44" s="67"/>
      <c r="AN44" s="67">
        <v>643666</v>
      </c>
      <c r="AO44" s="67"/>
      <c r="AP44" s="65"/>
      <c r="AQ44" s="66"/>
      <c r="AR44" s="118"/>
    </row>
    <row r="45" spans="1:44" x14ac:dyDescent="0.25">
      <c r="A45" s="16" t="s">
        <v>410</v>
      </c>
      <c r="B45" s="11" t="s">
        <v>576</v>
      </c>
      <c r="C45" s="126" t="s">
        <v>635</v>
      </c>
      <c r="D45" s="67">
        <v>273255</v>
      </c>
      <c r="E45" s="67">
        <v>0</v>
      </c>
      <c r="F45" s="67">
        <v>16272</v>
      </c>
      <c r="G45" s="67">
        <v>4</v>
      </c>
      <c r="H45" s="67">
        <v>0</v>
      </c>
      <c r="I45" s="140">
        <v>0.54400000000000004</v>
      </c>
      <c r="J45" s="140">
        <v>0.2498022</v>
      </c>
      <c r="K45" s="65">
        <v>0.61919999999999997</v>
      </c>
      <c r="L45" s="65">
        <v>0.28300000000000003</v>
      </c>
      <c r="M45" s="65">
        <v>0.23819850000000001</v>
      </c>
      <c r="N45" s="65"/>
      <c r="O45"/>
      <c r="P45" s="67"/>
      <c r="Q45" s="67"/>
      <c r="R45" s="67"/>
      <c r="S45" s="65"/>
      <c r="T45" s="65"/>
      <c r="U45" s="65"/>
      <c r="V45" s="65">
        <v>0</v>
      </c>
      <c r="W45" s="118"/>
      <c r="X45" s="65"/>
      <c r="Y45" s="65"/>
      <c r="Z45" s="65"/>
      <c r="AA45" s="67">
        <v>0</v>
      </c>
      <c r="AB45" s="65"/>
      <c r="AC45" s="65"/>
      <c r="AD45" s="65"/>
      <c r="AE45" s="65">
        <v>16.200000000000003</v>
      </c>
      <c r="AF45" s="65">
        <v>23</v>
      </c>
      <c r="AG45" s="65">
        <v>47.8</v>
      </c>
      <c r="AH45" s="65"/>
      <c r="AI45" s="67"/>
      <c r="AJ45" s="67"/>
      <c r="AK45" s="67"/>
      <c r="AL45" s="65"/>
      <c r="AM45" s="67"/>
      <c r="AN45" s="67">
        <v>1024007</v>
      </c>
      <c r="AO45" s="67"/>
      <c r="AP45" s="65"/>
      <c r="AQ45" s="66"/>
      <c r="AR45" s="118"/>
    </row>
    <row r="46" spans="1:44" x14ac:dyDescent="0.25">
      <c r="A46" s="16" t="s">
        <v>411</v>
      </c>
      <c r="B46" s="11" t="s">
        <v>576</v>
      </c>
      <c r="C46" s="126" t="s">
        <v>636</v>
      </c>
      <c r="D46" s="67">
        <v>450213</v>
      </c>
      <c r="E46" s="67">
        <v>0</v>
      </c>
      <c r="F46" s="67">
        <v>46346</v>
      </c>
      <c r="G46" s="67">
        <v>0</v>
      </c>
      <c r="H46" s="67">
        <v>8</v>
      </c>
      <c r="I46" s="140">
        <v>0.48309999999999997</v>
      </c>
      <c r="J46" s="140">
        <v>0.25403110000000001</v>
      </c>
      <c r="K46" s="65">
        <v>0.61670000000000003</v>
      </c>
      <c r="L46" s="65">
        <v>0.43</v>
      </c>
      <c r="M46" s="65">
        <v>8.8341799999999998E-2</v>
      </c>
      <c r="N46" s="65"/>
      <c r="O46"/>
      <c r="P46" s="67"/>
      <c r="Q46" s="67"/>
      <c r="R46" s="67"/>
      <c r="S46" s="65"/>
      <c r="T46" s="65"/>
      <c r="U46" s="65"/>
      <c r="V46" s="65">
        <v>0</v>
      </c>
      <c r="W46" s="118"/>
      <c r="X46" s="65"/>
      <c r="Y46" s="65"/>
      <c r="Z46" s="65"/>
      <c r="AA46" s="67">
        <v>0</v>
      </c>
      <c r="AB46" s="65"/>
      <c r="AC46" s="65"/>
      <c r="AD46" s="65"/>
      <c r="AE46" s="65">
        <v>4.5999999999999943</v>
      </c>
      <c r="AF46" s="65">
        <v>29.5</v>
      </c>
      <c r="AG46" s="65">
        <v>64.099999999999994</v>
      </c>
      <c r="AH46" s="65"/>
      <c r="AI46" s="67"/>
      <c r="AJ46" s="67"/>
      <c r="AK46" s="67"/>
      <c r="AL46" s="65"/>
      <c r="AM46" s="67"/>
      <c r="AN46" s="67">
        <v>1583780</v>
      </c>
      <c r="AO46" s="67"/>
      <c r="AP46" s="65"/>
      <c r="AQ46" s="66"/>
      <c r="AR46" s="118"/>
    </row>
    <row r="47" spans="1:44" x14ac:dyDescent="0.25">
      <c r="A47" s="16" t="s">
        <v>412</v>
      </c>
      <c r="B47" s="11" t="s">
        <v>576</v>
      </c>
      <c r="C47" s="126" t="s">
        <v>637</v>
      </c>
      <c r="D47" s="67">
        <v>391564</v>
      </c>
      <c r="E47" s="67">
        <v>0</v>
      </c>
      <c r="F47" s="67">
        <v>345639</v>
      </c>
      <c r="G47" s="67">
        <v>0</v>
      </c>
      <c r="H47" s="67">
        <v>13</v>
      </c>
      <c r="I47" s="140">
        <v>0.4279</v>
      </c>
      <c r="J47" s="140">
        <v>0.25403110000000001</v>
      </c>
      <c r="K47" s="65">
        <v>0.64570000000000005</v>
      </c>
      <c r="L47" s="65">
        <v>0.45899999999999996</v>
      </c>
      <c r="M47" s="65">
        <v>8.8341799999999998E-2</v>
      </c>
      <c r="N47" s="65"/>
      <c r="O47"/>
      <c r="P47" s="67"/>
      <c r="Q47" s="67"/>
      <c r="R47" s="67"/>
      <c r="S47" s="65"/>
      <c r="T47" s="65"/>
      <c r="U47" s="65"/>
      <c r="V47" s="65">
        <v>0</v>
      </c>
      <c r="W47" s="118"/>
      <c r="X47" s="65"/>
      <c r="Y47" s="65"/>
      <c r="Z47" s="65"/>
      <c r="AA47" s="67">
        <v>0</v>
      </c>
      <c r="AB47" s="65"/>
      <c r="AC47" s="65"/>
      <c r="AD47" s="65"/>
      <c r="AE47" s="65">
        <v>4.5999999999999943</v>
      </c>
      <c r="AF47" s="65">
        <v>29.5</v>
      </c>
      <c r="AG47" s="65">
        <v>64.099999999999994</v>
      </c>
      <c r="AH47" s="65"/>
      <c r="AI47" s="67"/>
      <c r="AJ47" s="67"/>
      <c r="AK47" s="67"/>
      <c r="AL47" s="65"/>
      <c r="AM47" s="67"/>
      <c r="AN47" s="67">
        <v>836048</v>
      </c>
      <c r="AO47" s="67"/>
      <c r="AP47" s="65"/>
      <c r="AQ47" s="66"/>
      <c r="AR47" s="118"/>
    </row>
    <row r="48" spans="1:44" x14ac:dyDescent="0.25">
      <c r="A48" s="16" t="s">
        <v>413</v>
      </c>
      <c r="B48" s="11" t="s">
        <v>576</v>
      </c>
      <c r="C48" s="126" t="s">
        <v>638</v>
      </c>
      <c r="D48" s="67">
        <v>72975</v>
      </c>
      <c r="E48" s="67">
        <v>13045</v>
      </c>
      <c r="F48" s="67">
        <v>44878</v>
      </c>
      <c r="G48" s="67">
        <v>4</v>
      </c>
      <c r="H48" s="67">
        <v>1</v>
      </c>
      <c r="I48" s="140">
        <v>0.53210000000000002</v>
      </c>
      <c r="J48" s="140">
        <v>0.2498022</v>
      </c>
      <c r="K48" s="65">
        <v>0.61709999999999998</v>
      </c>
      <c r="L48" s="65">
        <v>0.28300000000000003</v>
      </c>
      <c r="M48" s="65">
        <v>0.23819850000000001</v>
      </c>
      <c r="N48" s="65"/>
      <c r="O48"/>
      <c r="P48" s="67"/>
      <c r="Q48" s="67"/>
      <c r="R48" s="67"/>
      <c r="S48" s="65"/>
      <c r="T48" s="65"/>
      <c r="U48" s="65"/>
      <c r="V48" s="65">
        <v>0</v>
      </c>
      <c r="W48" s="118"/>
      <c r="X48" s="65"/>
      <c r="Y48" s="65"/>
      <c r="Z48" s="65"/>
      <c r="AA48" s="67">
        <v>0</v>
      </c>
      <c r="AB48" s="65"/>
      <c r="AC48" s="65"/>
      <c r="AD48" s="65"/>
      <c r="AE48" s="65">
        <v>16.200000000000003</v>
      </c>
      <c r="AF48" s="65">
        <v>23</v>
      </c>
      <c r="AG48" s="65">
        <v>47.8</v>
      </c>
      <c r="AH48" s="65"/>
      <c r="AI48" s="67"/>
      <c r="AJ48" s="67"/>
      <c r="AK48" s="67"/>
      <c r="AL48" s="65"/>
      <c r="AM48" s="67"/>
      <c r="AN48" s="67">
        <v>422191</v>
      </c>
      <c r="AO48" s="67"/>
      <c r="AP48" s="65"/>
      <c r="AQ48" s="66"/>
      <c r="AR48" s="118"/>
    </row>
    <row r="49" spans="1:44" x14ac:dyDescent="0.25">
      <c r="A49" s="16" t="s">
        <v>414</v>
      </c>
      <c r="B49" s="11" t="s">
        <v>576</v>
      </c>
      <c r="C49" s="126" t="s">
        <v>639</v>
      </c>
      <c r="D49" s="67">
        <v>77049</v>
      </c>
      <c r="E49" s="67">
        <v>206072</v>
      </c>
      <c r="F49" s="67">
        <v>0</v>
      </c>
      <c r="G49" s="67">
        <v>3</v>
      </c>
      <c r="H49" s="67">
        <v>21</v>
      </c>
      <c r="I49" s="140">
        <v>0.55230000000000001</v>
      </c>
      <c r="J49" s="140">
        <v>0.2482491</v>
      </c>
      <c r="K49" s="65">
        <v>0.54959999999999998</v>
      </c>
      <c r="L49" s="65">
        <v>0.379</v>
      </c>
      <c r="M49" s="65">
        <v>0.14150750000000001</v>
      </c>
      <c r="N49" s="65"/>
      <c r="O49"/>
      <c r="P49" s="67"/>
      <c r="Q49" s="67"/>
      <c r="R49" s="67"/>
      <c r="S49" s="65"/>
      <c r="T49" s="65"/>
      <c r="U49" s="65"/>
      <c r="V49" s="65">
        <v>7</v>
      </c>
      <c r="W49" s="118"/>
      <c r="X49" s="65"/>
      <c r="Y49" s="65"/>
      <c r="Z49" s="65"/>
      <c r="AA49" s="67">
        <v>0</v>
      </c>
      <c r="AB49" s="65"/>
      <c r="AC49" s="65"/>
      <c r="AD49" s="65"/>
      <c r="AE49" s="65">
        <v>7.2000000000000028</v>
      </c>
      <c r="AF49" s="65">
        <v>19.899999999999999</v>
      </c>
      <c r="AG49" s="65">
        <v>41.9</v>
      </c>
      <c r="AH49" s="65"/>
      <c r="AI49" s="67"/>
      <c r="AJ49" s="67"/>
      <c r="AK49" s="67"/>
      <c r="AL49" s="65"/>
      <c r="AM49" s="67"/>
      <c r="AN49" s="67">
        <v>590774</v>
      </c>
      <c r="AO49" s="67"/>
      <c r="AP49" s="65"/>
      <c r="AQ49" s="66"/>
      <c r="AR49" s="118"/>
    </row>
    <row r="50" spans="1:44" x14ac:dyDescent="0.25">
      <c r="A50" s="16" t="s">
        <v>415</v>
      </c>
      <c r="B50" s="11" t="s">
        <v>576</v>
      </c>
      <c r="C50" s="126" t="s">
        <v>640</v>
      </c>
      <c r="D50" s="67">
        <v>201509</v>
      </c>
      <c r="E50" s="67">
        <v>319651</v>
      </c>
      <c r="F50" s="67">
        <v>0</v>
      </c>
      <c r="G50" s="67">
        <v>3</v>
      </c>
      <c r="H50" s="67">
        <v>171</v>
      </c>
      <c r="I50" s="140">
        <v>0.46789999999999998</v>
      </c>
      <c r="J50" s="140">
        <v>0.51632370000000005</v>
      </c>
      <c r="K50" s="65">
        <v>0.6532</v>
      </c>
      <c r="L50" s="65">
        <v>0.436</v>
      </c>
      <c r="M50" s="65">
        <v>0.2279669</v>
      </c>
      <c r="N50" s="65"/>
      <c r="O50"/>
      <c r="P50" s="67"/>
      <c r="Q50" s="67"/>
      <c r="R50" s="67"/>
      <c r="S50" s="65"/>
      <c r="T50" s="65"/>
      <c r="U50" s="65"/>
      <c r="V50" s="65">
        <v>26</v>
      </c>
      <c r="W50" s="118"/>
      <c r="X50" s="65"/>
      <c r="Y50" s="65"/>
      <c r="Z50" s="65"/>
      <c r="AA50" s="67">
        <v>356014</v>
      </c>
      <c r="AB50" s="65"/>
      <c r="AC50" s="65"/>
      <c r="AD50" s="65"/>
      <c r="AE50" s="65">
        <v>9.9000000000000057</v>
      </c>
      <c r="AF50" s="65">
        <v>8.5</v>
      </c>
      <c r="AG50" s="65">
        <v>42.4</v>
      </c>
      <c r="AH50" s="65"/>
      <c r="AI50" s="67"/>
      <c r="AJ50" s="67"/>
      <c r="AK50" s="67"/>
      <c r="AL50" s="65"/>
      <c r="AM50" s="67"/>
      <c r="AN50" s="67">
        <v>694797</v>
      </c>
      <c r="AO50" s="67"/>
      <c r="AP50" s="65"/>
      <c r="AQ50" s="66"/>
      <c r="AR50" s="118"/>
    </row>
    <row r="51" spans="1:44" x14ac:dyDescent="0.25">
      <c r="A51" s="16" t="s">
        <v>416</v>
      </c>
      <c r="B51" s="11" t="s">
        <v>576</v>
      </c>
      <c r="C51" s="126" t="s">
        <v>641</v>
      </c>
      <c r="D51" s="67">
        <v>549179</v>
      </c>
      <c r="E51" s="67">
        <v>0</v>
      </c>
      <c r="F51" s="67">
        <v>868542</v>
      </c>
      <c r="G51" s="67">
        <v>0</v>
      </c>
      <c r="H51" s="67">
        <v>4</v>
      </c>
      <c r="I51" s="140">
        <v>0.40699999999999997</v>
      </c>
      <c r="J51" s="140">
        <v>0.23862330000000001</v>
      </c>
      <c r="K51" s="65">
        <v>0.66930000000000001</v>
      </c>
      <c r="L51" s="65">
        <v>0.41600000000000004</v>
      </c>
      <c r="M51" s="65">
        <v>9.9048600000000001E-2</v>
      </c>
      <c r="N51" s="65"/>
      <c r="O51"/>
      <c r="P51" s="67"/>
      <c r="Q51" s="67"/>
      <c r="R51" s="67"/>
      <c r="S51" s="65"/>
      <c r="T51" s="65"/>
      <c r="U51" s="65"/>
      <c r="V51" s="65">
        <v>0</v>
      </c>
      <c r="W51" s="118"/>
      <c r="X51" s="65"/>
      <c r="Y51" s="65"/>
      <c r="Z51" s="65"/>
      <c r="AA51" s="67">
        <v>0</v>
      </c>
      <c r="AB51" s="65"/>
      <c r="AC51" s="65"/>
      <c r="AD51" s="65"/>
      <c r="AE51" s="65">
        <v>11.799999999999997</v>
      </c>
      <c r="AF51" s="65">
        <v>19.7</v>
      </c>
      <c r="AG51" s="65">
        <v>43.9</v>
      </c>
      <c r="AH51" s="65"/>
      <c r="AI51" s="67"/>
      <c r="AJ51" s="67"/>
      <c r="AK51" s="67"/>
      <c r="AL51" s="65"/>
      <c r="AM51" s="67"/>
      <c r="AN51" s="67">
        <v>1089484</v>
      </c>
      <c r="AO51" s="67"/>
      <c r="AP51" s="65"/>
      <c r="AQ51" s="66"/>
      <c r="AR51" s="118"/>
    </row>
    <row r="52" spans="1:44" x14ac:dyDescent="0.25">
      <c r="A52" s="16" t="s">
        <v>417</v>
      </c>
      <c r="B52" s="11" t="s">
        <v>576</v>
      </c>
      <c r="C52" s="126" t="s">
        <v>642</v>
      </c>
      <c r="D52" s="67">
        <v>17863</v>
      </c>
      <c r="E52" s="67">
        <v>154762</v>
      </c>
      <c r="F52" s="67">
        <v>0</v>
      </c>
      <c r="G52" s="67">
        <v>3</v>
      </c>
      <c r="H52" s="67">
        <v>36</v>
      </c>
      <c r="I52" s="140">
        <v>0.45079999999999998</v>
      </c>
      <c r="J52" s="140">
        <v>0.2482491</v>
      </c>
      <c r="K52" s="65">
        <v>0.64039999999999997</v>
      </c>
      <c r="L52" s="65">
        <v>0.43099999999999999</v>
      </c>
      <c r="M52" s="65">
        <v>0.14150750000000001</v>
      </c>
      <c r="N52" s="65"/>
      <c r="O52"/>
      <c r="P52" s="67"/>
      <c r="Q52" s="67"/>
      <c r="R52" s="67"/>
      <c r="S52" s="65"/>
      <c r="T52" s="65"/>
      <c r="U52" s="65"/>
      <c r="V52" s="65">
        <v>45</v>
      </c>
      <c r="W52" s="118"/>
      <c r="X52" s="65"/>
      <c r="Y52" s="65"/>
      <c r="Z52" s="65"/>
      <c r="AA52" s="67">
        <v>0</v>
      </c>
      <c r="AB52" s="65"/>
      <c r="AC52" s="65"/>
      <c r="AD52" s="65"/>
      <c r="AE52" s="65">
        <v>7.2000000000000028</v>
      </c>
      <c r="AF52" s="65">
        <v>19.899999999999999</v>
      </c>
      <c r="AG52" s="65">
        <v>41.9</v>
      </c>
      <c r="AH52" s="65"/>
      <c r="AI52" s="67"/>
      <c r="AJ52" s="67"/>
      <c r="AK52" s="67"/>
      <c r="AL52" s="65"/>
      <c r="AM52" s="67"/>
      <c r="AN52" s="67">
        <v>170299</v>
      </c>
      <c r="AO52" s="67"/>
      <c r="AP52" s="65"/>
      <c r="AQ52" s="66"/>
      <c r="AR52" s="118"/>
    </row>
    <row r="53" spans="1:44" x14ac:dyDescent="0.25">
      <c r="A53" s="16" t="s">
        <v>418</v>
      </c>
      <c r="B53" s="11" t="s">
        <v>576</v>
      </c>
      <c r="C53" s="126" t="s">
        <v>643</v>
      </c>
      <c r="D53" s="67">
        <v>87263</v>
      </c>
      <c r="E53" s="67">
        <v>36533</v>
      </c>
      <c r="F53" s="67">
        <v>135663</v>
      </c>
      <c r="G53" s="67">
        <v>4</v>
      </c>
      <c r="H53" s="67">
        <v>10</v>
      </c>
      <c r="I53" s="140">
        <v>0.59099999999999997</v>
      </c>
      <c r="J53" s="140">
        <v>0.2498022</v>
      </c>
      <c r="K53" s="65">
        <v>0.59730000000000005</v>
      </c>
      <c r="L53" s="65">
        <v>0.40299999999999997</v>
      </c>
      <c r="M53" s="65">
        <v>0.23819850000000001</v>
      </c>
      <c r="N53" s="65"/>
      <c r="O53"/>
      <c r="P53" s="67"/>
      <c r="Q53" s="67"/>
      <c r="R53" s="67"/>
      <c r="S53" s="65"/>
      <c r="T53" s="65"/>
      <c r="U53" s="65"/>
      <c r="V53" s="65">
        <v>0</v>
      </c>
      <c r="W53" s="118"/>
      <c r="X53" s="65"/>
      <c r="Y53" s="65"/>
      <c r="Z53" s="65"/>
      <c r="AA53" s="67">
        <v>0</v>
      </c>
      <c r="AB53" s="65"/>
      <c r="AC53" s="65"/>
      <c r="AD53" s="65"/>
      <c r="AE53" s="65">
        <v>16.200000000000003</v>
      </c>
      <c r="AF53" s="65">
        <v>23</v>
      </c>
      <c r="AG53" s="65">
        <v>47.8</v>
      </c>
      <c r="AH53" s="65"/>
      <c r="AI53" s="67"/>
      <c r="AJ53" s="67"/>
      <c r="AK53" s="67"/>
      <c r="AL53" s="65"/>
      <c r="AM53" s="67"/>
      <c r="AN53" s="67">
        <v>786651</v>
      </c>
      <c r="AO53" s="67"/>
      <c r="AP53" s="65"/>
      <c r="AQ53" s="66"/>
      <c r="AR53" s="118"/>
    </row>
    <row r="54" spans="1:44" x14ac:dyDescent="0.25">
      <c r="A54" s="16" t="s">
        <v>419</v>
      </c>
      <c r="B54" s="11" t="s">
        <v>576</v>
      </c>
      <c r="C54" s="126" t="s">
        <v>644</v>
      </c>
      <c r="D54" s="67">
        <v>1035447</v>
      </c>
      <c r="E54" s="67">
        <v>0</v>
      </c>
      <c r="F54" s="67">
        <v>193567</v>
      </c>
      <c r="G54" s="67">
        <v>0</v>
      </c>
      <c r="H54" s="67">
        <v>7</v>
      </c>
      <c r="I54" s="140">
        <v>0.4834</v>
      </c>
      <c r="J54" s="140">
        <v>0.25403110000000001</v>
      </c>
      <c r="K54" s="65">
        <v>0.63249999999999995</v>
      </c>
      <c r="L54" s="65">
        <v>0.39399999999999996</v>
      </c>
      <c r="M54" s="65">
        <v>8.8341799999999998E-2</v>
      </c>
      <c r="N54" s="65"/>
      <c r="O54"/>
      <c r="P54" s="67"/>
      <c r="Q54" s="67"/>
      <c r="R54" s="67"/>
      <c r="S54" s="65"/>
      <c r="T54" s="65"/>
      <c r="U54" s="65"/>
      <c r="V54" s="65">
        <v>0</v>
      </c>
      <c r="W54" s="118"/>
      <c r="X54" s="65"/>
      <c r="Y54" s="65"/>
      <c r="Z54" s="65"/>
      <c r="AA54" s="67">
        <v>0</v>
      </c>
      <c r="AB54" s="65"/>
      <c r="AC54" s="65"/>
      <c r="AD54" s="65"/>
      <c r="AE54" s="65">
        <v>4.5999999999999943</v>
      </c>
      <c r="AF54" s="65">
        <v>29.5</v>
      </c>
      <c r="AG54" s="65">
        <v>64.099999999999994</v>
      </c>
      <c r="AH54" s="65"/>
      <c r="AI54" s="67"/>
      <c r="AJ54" s="67"/>
      <c r="AK54" s="67"/>
      <c r="AL54" s="65"/>
      <c r="AM54" s="67"/>
      <c r="AN54" s="67">
        <v>1857751</v>
      </c>
      <c r="AO54" s="67"/>
      <c r="AP54" s="65"/>
      <c r="AQ54" s="66"/>
      <c r="AR54" s="118"/>
    </row>
    <row r="55" spans="1:44" x14ac:dyDescent="0.25">
      <c r="A55" s="16" t="s">
        <v>420</v>
      </c>
      <c r="B55" s="11" t="s">
        <v>576</v>
      </c>
      <c r="C55" s="126" t="s">
        <v>645</v>
      </c>
      <c r="D55" s="67">
        <v>169856</v>
      </c>
      <c r="E55" s="67">
        <v>0</v>
      </c>
      <c r="F55" s="67">
        <v>64520</v>
      </c>
      <c r="G55" s="67">
        <v>4</v>
      </c>
      <c r="H55" s="67">
        <v>1</v>
      </c>
      <c r="I55" s="140">
        <v>0.52180000000000004</v>
      </c>
      <c r="J55" s="140">
        <v>0.2498022</v>
      </c>
      <c r="K55" s="65">
        <v>0.623</v>
      </c>
      <c r="L55" s="65">
        <v>0.37799999999999995</v>
      </c>
      <c r="M55" s="65">
        <v>0.23819850000000001</v>
      </c>
      <c r="N55" s="65"/>
      <c r="O55"/>
      <c r="P55" s="67"/>
      <c r="Q55" s="67"/>
      <c r="R55" s="67"/>
      <c r="S55" s="65"/>
      <c r="T55" s="65"/>
      <c r="U55" s="65"/>
      <c r="V55" s="65">
        <v>0</v>
      </c>
      <c r="W55" s="118"/>
      <c r="X55" s="65"/>
      <c r="Y55" s="65"/>
      <c r="Z55" s="65"/>
      <c r="AA55" s="67">
        <v>0</v>
      </c>
      <c r="AB55" s="65"/>
      <c r="AC55" s="65"/>
      <c r="AD55" s="65"/>
      <c r="AE55" s="65">
        <v>16.200000000000003</v>
      </c>
      <c r="AF55" s="65">
        <v>23</v>
      </c>
      <c r="AG55" s="65">
        <v>47.8</v>
      </c>
      <c r="AH55" s="65"/>
      <c r="AI55" s="67"/>
      <c r="AJ55" s="67"/>
      <c r="AK55" s="67"/>
      <c r="AL55" s="65"/>
      <c r="AM55" s="67"/>
      <c r="AN55" s="67">
        <v>685376</v>
      </c>
      <c r="AO55" s="67"/>
      <c r="AP55" s="65"/>
      <c r="AQ55" s="66"/>
      <c r="AR55" s="118"/>
    </row>
    <row r="56" spans="1:44" x14ac:dyDescent="0.25">
      <c r="A56" s="16" t="s">
        <v>421</v>
      </c>
      <c r="B56" s="11" t="s">
        <v>576</v>
      </c>
      <c r="C56" s="126" t="s">
        <v>646</v>
      </c>
      <c r="D56" s="67">
        <v>152043</v>
      </c>
      <c r="E56" s="67">
        <v>0</v>
      </c>
      <c r="F56" s="67">
        <v>6213</v>
      </c>
      <c r="G56" s="67">
        <v>3</v>
      </c>
      <c r="H56" s="67">
        <v>16</v>
      </c>
      <c r="I56" s="140">
        <v>0.56110000000000004</v>
      </c>
      <c r="J56" s="140">
        <v>0.13292770000000001</v>
      </c>
      <c r="K56" s="65">
        <v>0.57040000000000002</v>
      </c>
      <c r="L56" s="65">
        <v>0.33500000000000002</v>
      </c>
      <c r="M56" s="65">
        <v>6.3606599999999999E-2</v>
      </c>
      <c r="N56" s="65"/>
      <c r="O56"/>
      <c r="P56" s="67"/>
      <c r="Q56" s="67"/>
      <c r="R56" s="67"/>
      <c r="S56" s="65"/>
      <c r="T56" s="65"/>
      <c r="U56" s="65"/>
      <c r="V56" s="65">
        <v>0</v>
      </c>
      <c r="W56" s="118"/>
      <c r="X56" s="65"/>
      <c r="Y56" s="65"/>
      <c r="Z56" s="65"/>
      <c r="AA56" s="67">
        <v>0</v>
      </c>
      <c r="AB56" s="65"/>
      <c r="AC56" s="65"/>
      <c r="AD56" s="65"/>
      <c r="AE56" s="65">
        <v>20.900000000000006</v>
      </c>
      <c r="AF56" s="65">
        <v>30.6</v>
      </c>
      <c r="AG56" s="65">
        <v>64.8</v>
      </c>
      <c r="AH56" s="65"/>
      <c r="AI56" s="67"/>
      <c r="AJ56" s="67"/>
      <c r="AK56" s="67"/>
      <c r="AL56" s="65"/>
      <c r="AM56" s="67"/>
      <c r="AN56" s="67">
        <v>1793697</v>
      </c>
      <c r="AO56" s="67"/>
      <c r="AP56" s="65"/>
      <c r="AQ56" s="66"/>
      <c r="AR56" s="118"/>
    </row>
    <row r="57" spans="1:44" x14ac:dyDescent="0.25">
      <c r="A57" s="16" t="s">
        <v>422</v>
      </c>
      <c r="B57" s="11" t="s">
        <v>576</v>
      </c>
      <c r="C57" s="126" t="s">
        <v>647</v>
      </c>
      <c r="D57" s="67">
        <v>339677</v>
      </c>
      <c r="E57" s="67">
        <v>582356</v>
      </c>
      <c r="F57" s="67">
        <v>0</v>
      </c>
      <c r="G57" s="67">
        <v>4</v>
      </c>
      <c r="H57" s="67">
        <v>32</v>
      </c>
      <c r="I57" s="140">
        <v>0.56899999999999995</v>
      </c>
      <c r="J57" s="140">
        <v>0.25462669999999998</v>
      </c>
      <c r="K57" s="65">
        <v>0.66610000000000003</v>
      </c>
      <c r="L57" s="65">
        <v>0.56499999999999995</v>
      </c>
      <c r="M57" s="65">
        <v>0.20785670000000001</v>
      </c>
      <c r="N57" s="65"/>
      <c r="O57"/>
      <c r="P57" s="67"/>
      <c r="Q57" s="67"/>
      <c r="R57" s="67"/>
      <c r="S57" s="65"/>
      <c r="T57" s="65"/>
      <c r="U57" s="65"/>
      <c r="V57" s="65">
        <v>7</v>
      </c>
      <c r="W57" s="118"/>
      <c r="X57" s="65"/>
      <c r="Y57" s="65"/>
      <c r="Z57" s="65"/>
      <c r="AA57" s="67">
        <v>0</v>
      </c>
      <c r="AB57" s="65"/>
      <c r="AC57" s="65"/>
      <c r="AD57" s="65"/>
      <c r="AE57" s="65">
        <v>26.5</v>
      </c>
      <c r="AF57" s="65">
        <v>21.7</v>
      </c>
      <c r="AG57" s="65">
        <v>55.1</v>
      </c>
      <c r="AH57" s="65"/>
      <c r="AI57" s="67"/>
      <c r="AJ57" s="67"/>
      <c r="AK57" s="67"/>
      <c r="AL57" s="65"/>
      <c r="AM57" s="67"/>
      <c r="AN57" s="67">
        <v>1229957</v>
      </c>
      <c r="AO57" s="67"/>
      <c r="AP57" s="65"/>
      <c r="AQ57" s="66"/>
      <c r="AR57" s="118"/>
    </row>
    <row r="58" spans="1:44" x14ac:dyDescent="0.25">
      <c r="A58" s="16" t="s">
        <v>423</v>
      </c>
      <c r="B58" s="11" t="s">
        <v>576</v>
      </c>
      <c r="C58" s="126" t="s">
        <v>648</v>
      </c>
      <c r="D58" s="67">
        <v>103987</v>
      </c>
      <c r="E58" s="67">
        <v>19738</v>
      </c>
      <c r="F58" s="67">
        <v>0</v>
      </c>
      <c r="G58" s="67">
        <v>3</v>
      </c>
      <c r="H58" s="67">
        <v>2</v>
      </c>
      <c r="I58" s="140">
        <v>0.56899999999999995</v>
      </c>
      <c r="J58" s="140">
        <v>0.13292770000000001</v>
      </c>
      <c r="K58" s="65">
        <v>0.57410000000000005</v>
      </c>
      <c r="L58" s="65">
        <v>0.35399999999999998</v>
      </c>
      <c r="M58" s="65">
        <v>6.3606599999999999E-2</v>
      </c>
      <c r="N58" s="65"/>
      <c r="O58"/>
      <c r="P58" s="67"/>
      <c r="Q58" s="67"/>
      <c r="R58" s="67"/>
      <c r="S58" s="65"/>
      <c r="T58" s="65"/>
      <c r="U58" s="65"/>
      <c r="V58" s="65">
        <v>0</v>
      </c>
      <c r="W58" s="118"/>
      <c r="X58" s="65"/>
      <c r="Y58" s="65"/>
      <c r="Z58" s="65"/>
      <c r="AA58" s="67">
        <v>0</v>
      </c>
      <c r="AB58" s="65"/>
      <c r="AC58" s="65"/>
      <c r="AD58" s="65"/>
      <c r="AE58" s="65">
        <v>20.900000000000006</v>
      </c>
      <c r="AF58" s="65">
        <v>30.6</v>
      </c>
      <c r="AG58" s="65">
        <v>64.8</v>
      </c>
      <c r="AH58" s="65"/>
      <c r="AI58" s="67"/>
      <c r="AJ58" s="67"/>
      <c r="AK58" s="67"/>
      <c r="AL58" s="65"/>
      <c r="AM58" s="67"/>
      <c r="AN58" s="67">
        <v>590259</v>
      </c>
      <c r="AO58" s="67"/>
      <c r="AP58" s="65"/>
      <c r="AQ58" s="66"/>
      <c r="AR58" s="118"/>
    </row>
    <row r="59" spans="1:44" x14ac:dyDescent="0.25">
      <c r="A59" s="16" t="s">
        <v>424</v>
      </c>
      <c r="B59" s="11" t="s">
        <v>576</v>
      </c>
      <c r="C59" s="126" t="s">
        <v>649</v>
      </c>
      <c r="D59" s="67">
        <v>198214</v>
      </c>
      <c r="E59" s="67">
        <v>0</v>
      </c>
      <c r="F59" s="67">
        <v>523757</v>
      </c>
      <c r="G59" s="67">
        <v>0</v>
      </c>
      <c r="H59" s="67">
        <v>1</v>
      </c>
      <c r="I59" s="140">
        <v>0.51190000000000002</v>
      </c>
      <c r="J59" s="140">
        <v>0.23862330000000001</v>
      </c>
      <c r="K59" s="65">
        <v>0.62909999999999999</v>
      </c>
      <c r="L59" s="65">
        <v>0.42</v>
      </c>
      <c r="M59" s="65">
        <v>9.9048600000000001E-2</v>
      </c>
      <c r="N59" s="65"/>
      <c r="O59"/>
      <c r="P59" s="67"/>
      <c r="Q59" s="67"/>
      <c r="R59" s="67"/>
      <c r="S59" s="65"/>
      <c r="T59" s="65"/>
      <c r="U59" s="65"/>
      <c r="V59" s="65">
        <v>0</v>
      </c>
      <c r="W59" s="118"/>
      <c r="X59" s="65"/>
      <c r="Y59" s="65"/>
      <c r="Z59" s="65"/>
      <c r="AA59" s="67">
        <v>0</v>
      </c>
      <c r="AB59" s="65"/>
      <c r="AC59" s="65"/>
      <c r="AD59" s="65"/>
      <c r="AE59" s="65">
        <v>11.799999999999997</v>
      </c>
      <c r="AF59" s="65">
        <v>19.7</v>
      </c>
      <c r="AG59" s="65">
        <v>43.9</v>
      </c>
      <c r="AH59" s="65"/>
      <c r="AI59" s="67"/>
      <c r="AJ59" s="67"/>
      <c r="AK59" s="67"/>
      <c r="AL59" s="65"/>
      <c r="AM59" s="67"/>
      <c r="AN59" s="67">
        <v>1302029</v>
      </c>
      <c r="AO59" s="67"/>
      <c r="AP59" s="65"/>
      <c r="AQ59" s="66"/>
      <c r="AR59" s="118"/>
    </row>
    <row r="60" spans="1:44" x14ac:dyDescent="0.25">
      <c r="A60" s="16" t="s">
        <v>425</v>
      </c>
      <c r="B60" s="11" t="s">
        <v>576</v>
      </c>
      <c r="C60" s="126" t="s">
        <v>650</v>
      </c>
      <c r="D60" s="67">
        <v>773966</v>
      </c>
      <c r="E60" s="67">
        <v>0</v>
      </c>
      <c r="F60" s="67">
        <v>730662</v>
      </c>
      <c r="G60" s="67">
        <v>0</v>
      </c>
      <c r="H60" s="67">
        <v>21</v>
      </c>
      <c r="I60" s="140">
        <v>0.52329999999999999</v>
      </c>
      <c r="J60" s="140">
        <v>0.23862330000000001</v>
      </c>
      <c r="K60" s="65">
        <v>0.63339999999999996</v>
      </c>
      <c r="L60" s="65">
        <v>0.43</v>
      </c>
      <c r="M60" s="65">
        <v>9.9048600000000001E-2</v>
      </c>
      <c r="N60" s="65"/>
      <c r="O60"/>
      <c r="P60" s="67"/>
      <c r="Q60" s="67"/>
      <c r="R60" s="67"/>
      <c r="S60" s="65"/>
      <c r="T60" s="65"/>
      <c r="U60" s="65"/>
      <c r="V60" s="65">
        <v>0</v>
      </c>
      <c r="W60" s="118"/>
      <c r="X60" s="65"/>
      <c r="Y60" s="65"/>
      <c r="Z60" s="65"/>
      <c r="AA60" s="67">
        <v>0</v>
      </c>
      <c r="AB60" s="65"/>
      <c r="AC60" s="65"/>
      <c r="AD60" s="65"/>
      <c r="AE60" s="65">
        <v>11.799999999999997</v>
      </c>
      <c r="AF60" s="65">
        <v>19.7</v>
      </c>
      <c r="AG60" s="65">
        <v>43.9</v>
      </c>
      <c r="AH60" s="65"/>
      <c r="AI60" s="67"/>
      <c r="AJ60" s="67"/>
      <c r="AK60" s="67"/>
      <c r="AL60" s="65"/>
      <c r="AM60" s="67"/>
      <c r="AN60" s="67">
        <v>1120922</v>
      </c>
      <c r="AO60" s="67"/>
      <c r="AP60" s="65"/>
      <c r="AQ60" s="66"/>
      <c r="AR60" s="118"/>
    </row>
    <row r="61" spans="1:44" x14ac:dyDescent="0.25">
      <c r="A61" s="16" t="s">
        <v>426</v>
      </c>
      <c r="B61" s="11" t="s">
        <v>576</v>
      </c>
      <c r="C61" s="126" t="s">
        <v>651</v>
      </c>
      <c r="D61" s="67">
        <v>148484</v>
      </c>
      <c r="E61" s="67">
        <v>1035354</v>
      </c>
      <c r="F61" s="67">
        <v>0</v>
      </c>
      <c r="G61" s="67">
        <v>3</v>
      </c>
      <c r="H61" s="67">
        <v>7</v>
      </c>
      <c r="I61" s="140">
        <v>0.48060000000000003</v>
      </c>
      <c r="J61" s="140">
        <v>0.2482491</v>
      </c>
      <c r="K61" s="65">
        <v>0.59330000000000005</v>
      </c>
      <c r="L61" s="65">
        <v>0.38799999999999996</v>
      </c>
      <c r="M61" s="65">
        <v>0.14150750000000001</v>
      </c>
      <c r="N61" s="65"/>
      <c r="O61"/>
      <c r="P61" s="67"/>
      <c r="Q61" s="67"/>
      <c r="R61" s="67"/>
      <c r="S61" s="65"/>
      <c r="T61" s="65"/>
      <c r="U61" s="65"/>
      <c r="V61" s="65">
        <v>17</v>
      </c>
      <c r="W61" s="118"/>
      <c r="X61" s="65"/>
      <c r="Y61" s="65"/>
      <c r="Z61" s="65"/>
      <c r="AA61" s="67">
        <v>0</v>
      </c>
      <c r="AB61" s="65"/>
      <c r="AC61" s="65"/>
      <c r="AD61" s="65"/>
      <c r="AE61" s="65">
        <v>7.2000000000000028</v>
      </c>
      <c r="AF61" s="65">
        <v>19.899999999999999</v>
      </c>
      <c r="AG61" s="65">
        <v>41.9</v>
      </c>
      <c r="AH61" s="65"/>
      <c r="AI61" s="67"/>
      <c r="AJ61" s="67"/>
      <c r="AK61" s="67"/>
      <c r="AL61" s="65"/>
      <c r="AM61" s="67"/>
      <c r="AN61" s="67">
        <v>1152009</v>
      </c>
      <c r="AO61" s="67"/>
      <c r="AP61" s="65"/>
      <c r="AQ61" s="66"/>
      <c r="AR61" s="118"/>
    </row>
    <row r="62" spans="1:44" x14ac:dyDescent="0.25">
      <c r="A62" s="16" t="s">
        <v>427</v>
      </c>
      <c r="B62" s="11" t="s">
        <v>576</v>
      </c>
      <c r="C62" s="126" t="s">
        <v>652</v>
      </c>
      <c r="D62" s="67">
        <v>209462</v>
      </c>
      <c r="E62" s="67">
        <v>134058</v>
      </c>
      <c r="F62" s="67">
        <v>0</v>
      </c>
      <c r="G62" s="67">
        <v>4</v>
      </c>
      <c r="H62" s="67">
        <v>23</v>
      </c>
      <c r="I62" s="140">
        <v>0.43540000000000001</v>
      </c>
      <c r="J62" s="140">
        <v>0.25462669999999998</v>
      </c>
      <c r="K62" s="65">
        <v>0.63349999999999995</v>
      </c>
      <c r="L62" s="65">
        <v>0.59699999999999998</v>
      </c>
      <c r="M62" s="65">
        <v>0.20785670000000001</v>
      </c>
      <c r="N62" s="65"/>
      <c r="O62"/>
      <c r="P62" s="67"/>
      <c r="Q62" s="67"/>
      <c r="R62" s="67"/>
      <c r="S62" s="65"/>
      <c r="T62" s="65"/>
      <c r="U62" s="65"/>
      <c r="V62" s="65">
        <v>13</v>
      </c>
      <c r="W62" s="118"/>
      <c r="X62" s="65"/>
      <c r="Y62" s="65"/>
      <c r="Z62" s="65"/>
      <c r="AA62" s="67">
        <v>0</v>
      </c>
      <c r="AB62" s="65"/>
      <c r="AC62" s="65"/>
      <c r="AD62" s="65"/>
      <c r="AE62" s="65">
        <v>26.5</v>
      </c>
      <c r="AF62" s="65">
        <v>21.7</v>
      </c>
      <c r="AG62" s="65">
        <v>55.1</v>
      </c>
      <c r="AH62" s="65"/>
      <c r="AI62" s="67"/>
      <c r="AJ62" s="67"/>
      <c r="AK62" s="67"/>
      <c r="AL62" s="65"/>
      <c r="AM62" s="67"/>
      <c r="AN62" s="67">
        <v>751748</v>
      </c>
      <c r="AO62" s="67"/>
      <c r="AP62" s="65"/>
      <c r="AQ62" s="66"/>
      <c r="AR62" s="118"/>
    </row>
    <row r="63" spans="1:44" x14ac:dyDescent="0.25">
      <c r="A63" s="16" t="s">
        <v>428</v>
      </c>
      <c r="B63" s="11" t="s">
        <v>576</v>
      </c>
      <c r="C63" s="126" t="s">
        <v>653</v>
      </c>
      <c r="D63" s="67">
        <v>43499</v>
      </c>
      <c r="E63" s="67">
        <v>31732</v>
      </c>
      <c r="F63" s="67">
        <v>38717</v>
      </c>
      <c r="G63" s="67">
        <v>4</v>
      </c>
      <c r="H63" s="67">
        <v>15</v>
      </c>
      <c r="I63" s="140">
        <v>0.57410000000000005</v>
      </c>
      <c r="J63" s="140">
        <v>0.2498022</v>
      </c>
      <c r="K63" s="65">
        <v>0.60419999999999996</v>
      </c>
      <c r="L63" s="65">
        <v>0.36899999999999999</v>
      </c>
      <c r="M63" s="65">
        <v>0.23819850000000001</v>
      </c>
      <c r="N63" s="65"/>
      <c r="O63"/>
      <c r="P63" s="67"/>
      <c r="Q63" s="67"/>
      <c r="R63" s="67"/>
      <c r="S63" s="65"/>
      <c r="T63" s="65"/>
      <c r="U63" s="65"/>
      <c r="V63" s="65">
        <v>4</v>
      </c>
      <c r="W63" s="118"/>
      <c r="X63" s="65"/>
      <c r="Y63" s="65"/>
      <c r="Z63" s="65"/>
      <c r="AA63" s="67">
        <v>0</v>
      </c>
      <c r="AB63" s="65"/>
      <c r="AC63" s="65"/>
      <c r="AD63" s="65"/>
      <c r="AE63" s="65">
        <v>16.200000000000003</v>
      </c>
      <c r="AF63" s="65">
        <v>23</v>
      </c>
      <c r="AG63" s="65">
        <v>47.8</v>
      </c>
      <c r="AH63" s="65"/>
      <c r="AI63" s="67"/>
      <c r="AJ63" s="67"/>
      <c r="AK63" s="67"/>
      <c r="AL63" s="65"/>
      <c r="AM63" s="67"/>
      <c r="AN63" s="67">
        <v>421736</v>
      </c>
      <c r="AO63" s="67"/>
      <c r="AP63" s="65"/>
      <c r="AQ63" s="66"/>
      <c r="AR63" s="118"/>
    </row>
    <row r="64" spans="1:44" x14ac:dyDescent="0.25">
      <c r="A64" s="16" t="s">
        <v>429</v>
      </c>
      <c r="B64" s="11" t="s">
        <v>576</v>
      </c>
      <c r="C64" s="126" t="s">
        <v>654</v>
      </c>
      <c r="D64" s="67">
        <v>15033</v>
      </c>
      <c r="E64" s="67">
        <v>81507</v>
      </c>
      <c r="F64" s="67">
        <v>0</v>
      </c>
      <c r="G64" s="67">
        <v>4</v>
      </c>
      <c r="H64" s="67">
        <v>122</v>
      </c>
      <c r="I64" s="140">
        <v>0.49869999999999998</v>
      </c>
      <c r="J64" s="140">
        <v>0.25462669999999998</v>
      </c>
      <c r="K64" s="65">
        <v>0.71079999999999999</v>
      </c>
      <c r="L64" s="65">
        <v>0.47100000000000003</v>
      </c>
      <c r="M64" s="65">
        <v>0.20785670000000001</v>
      </c>
      <c r="N64" s="65"/>
      <c r="O64"/>
      <c r="P64" s="67"/>
      <c r="Q64" s="67"/>
      <c r="R64" s="67"/>
      <c r="S64" s="65"/>
      <c r="T64" s="65"/>
      <c r="U64" s="65"/>
      <c r="V64" s="65">
        <v>0</v>
      </c>
      <c r="W64" s="118"/>
      <c r="X64" s="65"/>
      <c r="Y64" s="65"/>
      <c r="Z64" s="65"/>
      <c r="AA64" s="67">
        <v>0</v>
      </c>
      <c r="AB64" s="65"/>
      <c r="AC64" s="65"/>
      <c r="AD64" s="65"/>
      <c r="AE64" s="65">
        <v>26.5</v>
      </c>
      <c r="AF64" s="65">
        <v>21.7</v>
      </c>
      <c r="AG64" s="65">
        <v>55.1</v>
      </c>
      <c r="AH64" s="65"/>
      <c r="AI64" s="67"/>
      <c r="AJ64" s="67"/>
      <c r="AK64" s="67"/>
      <c r="AL64" s="65"/>
      <c r="AM64" s="67"/>
      <c r="AN64" s="67">
        <v>111252</v>
      </c>
      <c r="AO64" s="67"/>
      <c r="AP64" s="65"/>
      <c r="AQ64" s="66"/>
      <c r="AR64" s="118"/>
    </row>
    <row r="65" spans="1:44" x14ac:dyDescent="0.25">
      <c r="A65" s="16" t="s">
        <v>430</v>
      </c>
      <c r="B65" s="11" t="s">
        <v>576</v>
      </c>
      <c r="C65" s="126" t="s">
        <v>655</v>
      </c>
      <c r="D65" s="67">
        <v>369586</v>
      </c>
      <c r="E65" s="67">
        <v>128530</v>
      </c>
      <c r="F65" s="67">
        <v>61292</v>
      </c>
      <c r="G65" s="67">
        <v>3</v>
      </c>
      <c r="H65" s="67">
        <v>15</v>
      </c>
      <c r="I65" s="140">
        <v>0.54049999999999998</v>
      </c>
      <c r="J65" s="140">
        <v>0.2482491</v>
      </c>
      <c r="K65" s="65">
        <v>0.61709999999999998</v>
      </c>
      <c r="L65" s="65">
        <v>0.40299999999999997</v>
      </c>
      <c r="M65" s="65">
        <v>0.14150750000000001</v>
      </c>
      <c r="N65" s="65"/>
      <c r="O65"/>
      <c r="P65" s="67"/>
      <c r="Q65" s="67"/>
      <c r="R65" s="67"/>
      <c r="S65" s="65"/>
      <c r="T65" s="65"/>
      <c r="U65" s="65"/>
      <c r="V65" s="65">
        <v>0</v>
      </c>
      <c r="W65" s="118"/>
      <c r="X65" s="65"/>
      <c r="Y65" s="65"/>
      <c r="Z65" s="65"/>
      <c r="AA65" s="67">
        <v>0</v>
      </c>
      <c r="AB65" s="65"/>
      <c r="AC65" s="65"/>
      <c r="AD65" s="65"/>
      <c r="AE65" s="65">
        <v>7.2000000000000028</v>
      </c>
      <c r="AF65" s="65">
        <v>19.899999999999999</v>
      </c>
      <c r="AG65" s="65">
        <v>41.9</v>
      </c>
      <c r="AH65" s="65"/>
      <c r="AI65" s="67"/>
      <c r="AJ65" s="67"/>
      <c r="AK65" s="67"/>
      <c r="AL65" s="65"/>
      <c r="AM65" s="67"/>
      <c r="AN65" s="67">
        <v>1262873</v>
      </c>
      <c r="AO65" s="67"/>
      <c r="AP65" s="65"/>
      <c r="AQ65" s="66"/>
      <c r="AR65" s="118"/>
    </row>
    <row r="66" spans="1:44" x14ac:dyDescent="0.25">
      <c r="A66" s="16" t="s">
        <v>431</v>
      </c>
      <c r="B66" s="11" t="s">
        <v>576</v>
      </c>
      <c r="C66" s="126" t="s">
        <v>656</v>
      </c>
      <c r="D66" s="67">
        <v>269370</v>
      </c>
      <c r="E66" s="67">
        <v>453959</v>
      </c>
      <c r="F66" s="67">
        <v>21246</v>
      </c>
      <c r="G66" s="67">
        <v>3</v>
      </c>
      <c r="H66" s="67">
        <v>0</v>
      </c>
      <c r="I66" s="140">
        <v>0.48010000000000003</v>
      </c>
      <c r="J66" s="140">
        <v>0.2482491</v>
      </c>
      <c r="K66" s="65">
        <v>0.55349999999999999</v>
      </c>
      <c r="L66" s="65">
        <v>0.376</v>
      </c>
      <c r="M66" s="65">
        <v>0.14150750000000001</v>
      </c>
      <c r="N66" s="65"/>
      <c r="O66"/>
      <c r="P66" s="67"/>
      <c r="Q66" s="67"/>
      <c r="R66" s="67"/>
      <c r="S66" s="65"/>
      <c r="T66" s="65"/>
      <c r="U66" s="65"/>
      <c r="V66" s="65">
        <v>3</v>
      </c>
      <c r="W66" s="118"/>
      <c r="X66" s="65"/>
      <c r="Y66" s="65"/>
      <c r="Z66" s="65"/>
      <c r="AA66" s="67">
        <v>0</v>
      </c>
      <c r="AB66" s="65"/>
      <c r="AC66" s="65"/>
      <c r="AD66" s="65"/>
      <c r="AE66" s="65">
        <v>7.2000000000000028</v>
      </c>
      <c r="AF66" s="65">
        <v>19.899999999999999</v>
      </c>
      <c r="AG66" s="65">
        <v>41.9</v>
      </c>
      <c r="AH66" s="65"/>
      <c r="AI66" s="67"/>
      <c r="AJ66" s="67"/>
      <c r="AK66" s="67"/>
      <c r="AL66" s="65"/>
      <c r="AM66" s="67"/>
      <c r="AN66" s="67">
        <v>991237</v>
      </c>
      <c r="AO66" s="67"/>
      <c r="AP66" s="65"/>
      <c r="AQ66" s="66"/>
      <c r="AR66" s="118"/>
    </row>
    <row r="67" spans="1:44" x14ac:dyDescent="0.25">
      <c r="A67" s="16" t="s">
        <v>432</v>
      </c>
      <c r="B67" s="11" t="s">
        <v>576</v>
      </c>
      <c r="C67" s="126" t="s">
        <v>657</v>
      </c>
      <c r="D67" s="67">
        <v>120089</v>
      </c>
      <c r="E67" s="67">
        <v>759445</v>
      </c>
      <c r="F67" s="67">
        <v>0</v>
      </c>
      <c r="G67" s="67">
        <v>3</v>
      </c>
      <c r="H67" s="67">
        <v>238</v>
      </c>
      <c r="I67" s="140">
        <v>0.4214</v>
      </c>
      <c r="J67" s="140">
        <v>0.51632370000000005</v>
      </c>
      <c r="K67" s="65">
        <v>0.68600000000000005</v>
      </c>
      <c r="L67" s="65">
        <v>0.33200000000000002</v>
      </c>
      <c r="M67" s="65">
        <v>0.2279669</v>
      </c>
      <c r="N67" s="65"/>
      <c r="O67"/>
      <c r="P67" s="67"/>
      <c r="Q67" s="67"/>
      <c r="R67" s="67"/>
      <c r="S67" s="65"/>
      <c r="T67" s="65"/>
      <c r="U67" s="65"/>
      <c r="V67" s="65">
        <v>46</v>
      </c>
      <c r="W67" s="118"/>
      <c r="X67" s="65"/>
      <c r="Y67" s="65"/>
      <c r="Z67" s="65"/>
      <c r="AA67" s="67">
        <v>0</v>
      </c>
      <c r="AB67" s="65"/>
      <c r="AC67" s="65"/>
      <c r="AD67" s="65"/>
      <c r="AE67" s="65">
        <v>9.9000000000000057</v>
      </c>
      <c r="AF67" s="65">
        <v>8.5</v>
      </c>
      <c r="AG67" s="65">
        <v>42.4</v>
      </c>
      <c r="AH67" s="65"/>
      <c r="AI67" s="67"/>
      <c r="AJ67" s="67"/>
      <c r="AK67" s="67"/>
      <c r="AL67" s="65"/>
      <c r="AM67" s="67"/>
      <c r="AN67" s="67">
        <v>1176228</v>
      </c>
      <c r="AO67" s="67"/>
      <c r="AP67" s="65"/>
      <c r="AQ67" s="66"/>
      <c r="AR67" s="118"/>
    </row>
    <row r="68" spans="1:44" x14ac:dyDescent="0.25">
      <c r="A68" s="16" t="s">
        <v>433</v>
      </c>
      <c r="B68" s="11" t="s">
        <v>576</v>
      </c>
      <c r="C68" s="126" t="s">
        <v>658</v>
      </c>
      <c r="D68" s="67">
        <v>0</v>
      </c>
      <c r="E68" s="67">
        <v>221588</v>
      </c>
      <c r="F68" s="67">
        <v>234</v>
      </c>
      <c r="G68" s="67">
        <v>3</v>
      </c>
      <c r="H68" s="67">
        <v>127</v>
      </c>
      <c r="I68" s="140">
        <v>0.4375</v>
      </c>
      <c r="J68" s="140">
        <v>0.2482491</v>
      </c>
      <c r="K68" s="65">
        <v>0.69259999999999999</v>
      </c>
      <c r="L68" s="65">
        <v>0.36499999999999999</v>
      </c>
      <c r="M68" s="65">
        <v>0.14150750000000001</v>
      </c>
      <c r="N68" s="65"/>
      <c r="O68"/>
      <c r="P68" s="67"/>
      <c r="Q68" s="67"/>
      <c r="R68" s="67"/>
      <c r="S68" s="65"/>
      <c r="T68" s="65"/>
      <c r="U68" s="65"/>
      <c r="V68" s="65">
        <v>30</v>
      </c>
      <c r="W68" s="118"/>
      <c r="X68" s="65"/>
      <c r="Y68" s="65"/>
      <c r="Z68" s="65"/>
      <c r="AA68" s="67">
        <v>0</v>
      </c>
      <c r="AB68" s="65"/>
      <c r="AC68" s="65"/>
      <c r="AD68" s="65"/>
      <c r="AE68" s="65">
        <v>7.2000000000000028</v>
      </c>
      <c r="AF68" s="65">
        <v>19.899999999999999</v>
      </c>
      <c r="AG68" s="65">
        <v>41.9</v>
      </c>
      <c r="AH68" s="65"/>
      <c r="AI68" s="67"/>
      <c r="AJ68" s="67"/>
      <c r="AK68" s="67"/>
      <c r="AL68" s="65"/>
      <c r="AM68" s="67"/>
      <c r="AN68" s="67">
        <v>326640</v>
      </c>
      <c r="AO68" s="67"/>
      <c r="AP68" s="65"/>
      <c r="AQ68" s="66"/>
      <c r="AR68" s="118"/>
    </row>
    <row r="69" spans="1:44" x14ac:dyDescent="0.25">
      <c r="A69" s="16" t="s">
        <v>434</v>
      </c>
      <c r="B69" s="11" t="s">
        <v>576</v>
      </c>
      <c r="C69" s="126" t="s">
        <v>659</v>
      </c>
      <c r="D69" s="67">
        <v>7335</v>
      </c>
      <c r="E69" s="67">
        <v>950070</v>
      </c>
      <c r="F69" s="67">
        <v>0</v>
      </c>
      <c r="G69" s="67">
        <v>3</v>
      </c>
      <c r="H69" s="67">
        <v>20</v>
      </c>
      <c r="I69" s="140">
        <v>0.55079999999999996</v>
      </c>
      <c r="J69" s="140">
        <v>0.2482491</v>
      </c>
      <c r="K69" s="65">
        <v>0.63870000000000005</v>
      </c>
      <c r="L69" s="65">
        <v>0.34799999999999998</v>
      </c>
      <c r="M69" s="65">
        <v>0.14150750000000001</v>
      </c>
      <c r="N69" s="65"/>
      <c r="O69"/>
      <c r="P69" s="67"/>
      <c r="Q69" s="67"/>
      <c r="R69" s="67"/>
      <c r="S69" s="65"/>
      <c r="T69" s="65"/>
      <c r="U69" s="65"/>
      <c r="V69" s="65">
        <v>5</v>
      </c>
      <c r="W69" s="118"/>
      <c r="X69" s="65"/>
      <c r="Y69" s="65"/>
      <c r="Z69" s="65"/>
      <c r="AA69" s="67">
        <v>0</v>
      </c>
      <c r="AB69" s="65"/>
      <c r="AC69" s="65"/>
      <c r="AD69" s="65"/>
      <c r="AE69" s="65">
        <v>7.2000000000000028</v>
      </c>
      <c r="AF69" s="65">
        <v>19.899999999999999</v>
      </c>
      <c r="AG69" s="65">
        <v>41.9</v>
      </c>
      <c r="AH69" s="65"/>
      <c r="AI69" s="67"/>
      <c r="AJ69" s="67"/>
      <c r="AK69" s="67"/>
      <c r="AL69" s="65"/>
      <c r="AM69" s="67"/>
      <c r="AN69" s="67">
        <v>1523605</v>
      </c>
      <c r="AO69" s="67"/>
      <c r="AP69" s="65"/>
      <c r="AQ69" s="66"/>
      <c r="AR69" s="118"/>
    </row>
    <row r="70" spans="1:44" x14ac:dyDescent="0.25">
      <c r="A70" s="16" t="s">
        <v>435</v>
      </c>
      <c r="B70" s="11" t="s">
        <v>576</v>
      </c>
      <c r="C70" s="126" t="s">
        <v>660</v>
      </c>
      <c r="D70" s="67">
        <v>529276</v>
      </c>
      <c r="E70" s="67">
        <v>0</v>
      </c>
      <c r="F70" s="67">
        <v>667239</v>
      </c>
      <c r="G70" s="67">
        <v>0</v>
      </c>
      <c r="H70" s="67">
        <v>10</v>
      </c>
      <c r="I70" s="140">
        <v>0.44550000000000001</v>
      </c>
      <c r="J70" s="140">
        <v>0.23862330000000001</v>
      </c>
      <c r="K70" s="65">
        <v>0.69399999999999995</v>
      </c>
      <c r="L70" s="65">
        <v>0.46399999999999997</v>
      </c>
      <c r="M70" s="65">
        <v>9.9048600000000001E-2</v>
      </c>
      <c r="N70" s="65"/>
      <c r="O70"/>
      <c r="P70" s="67"/>
      <c r="Q70" s="67"/>
      <c r="R70" s="67"/>
      <c r="S70" s="65"/>
      <c r="T70" s="65"/>
      <c r="U70" s="65"/>
      <c r="V70" s="65">
        <v>0</v>
      </c>
      <c r="W70" s="118"/>
      <c r="X70" s="65"/>
      <c r="Y70" s="65"/>
      <c r="Z70" s="65"/>
      <c r="AA70" s="67">
        <v>0</v>
      </c>
      <c r="AB70" s="65"/>
      <c r="AC70" s="65"/>
      <c r="AD70" s="65"/>
      <c r="AE70" s="65">
        <v>11.799999999999997</v>
      </c>
      <c r="AF70" s="65">
        <v>19.7</v>
      </c>
      <c r="AG70" s="65">
        <v>43.9</v>
      </c>
      <c r="AH70" s="65"/>
      <c r="AI70" s="67"/>
      <c r="AJ70" s="67"/>
      <c r="AK70" s="67"/>
      <c r="AL70" s="65"/>
      <c r="AM70" s="67"/>
      <c r="AN70" s="67">
        <v>1036534</v>
      </c>
      <c r="AO70" s="67"/>
      <c r="AP70" s="65"/>
      <c r="AQ70" s="66"/>
      <c r="AR70" s="118"/>
    </row>
    <row r="71" spans="1:44" x14ac:dyDescent="0.25">
      <c r="A71" s="16" t="s">
        <v>436</v>
      </c>
      <c r="B71" s="11" t="s">
        <v>576</v>
      </c>
      <c r="C71" s="126" t="s">
        <v>661</v>
      </c>
      <c r="D71" s="67">
        <v>1018767</v>
      </c>
      <c r="E71" s="67">
        <v>594242</v>
      </c>
      <c r="F71" s="67">
        <v>0</v>
      </c>
      <c r="G71" s="67">
        <v>4</v>
      </c>
      <c r="H71" s="67">
        <v>104</v>
      </c>
      <c r="I71" s="140">
        <v>0.54849999999999999</v>
      </c>
      <c r="J71" s="140">
        <v>0.25462669999999998</v>
      </c>
      <c r="K71" s="65">
        <v>0.64559999999999995</v>
      </c>
      <c r="L71" s="65">
        <v>0.36499999999999999</v>
      </c>
      <c r="M71" s="65">
        <v>0.20785670000000001</v>
      </c>
      <c r="N71" s="65"/>
      <c r="O71"/>
      <c r="P71" s="67"/>
      <c r="Q71" s="67"/>
      <c r="R71" s="67"/>
      <c r="S71" s="65"/>
      <c r="T71" s="65"/>
      <c r="U71" s="65"/>
      <c r="V71" s="65">
        <v>0</v>
      </c>
      <c r="W71" s="118"/>
      <c r="X71" s="65"/>
      <c r="Y71" s="65"/>
      <c r="Z71" s="65"/>
      <c r="AA71" s="67">
        <v>0</v>
      </c>
      <c r="AB71" s="65"/>
      <c r="AC71" s="65"/>
      <c r="AD71" s="65"/>
      <c r="AE71" s="65">
        <v>26.5</v>
      </c>
      <c r="AF71" s="65">
        <v>21.7</v>
      </c>
      <c r="AG71" s="65">
        <v>55.1</v>
      </c>
      <c r="AH71" s="65"/>
      <c r="AI71" s="67"/>
      <c r="AJ71" s="67"/>
      <c r="AK71" s="67"/>
      <c r="AL71" s="65"/>
      <c r="AM71" s="67"/>
      <c r="AN71" s="67">
        <v>1015254</v>
      </c>
      <c r="AO71" s="67"/>
      <c r="AP71" s="65"/>
      <c r="AQ71" s="66"/>
      <c r="AR71" s="118"/>
    </row>
    <row r="72" spans="1:44" x14ac:dyDescent="0.25">
      <c r="A72" s="16" t="s">
        <v>437</v>
      </c>
      <c r="B72" s="11" t="s">
        <v>576</v>
      </c>
      <c r="C72" s="126" t="s">
        <v>662</v>
      </c>
      <c r="D72" s="67">
        <v>91537</v>
      </c>
      <c r="E72" s="67">
        <v>0</v>
      </c>
      <c r="F72" s="67">
        <v>1</v>
      </c>
      <c r="G72" s="67">
        <v>3</v>
      </c>
      <c r="H72" s="67">
        <v>5</v>
      </c>
      <c r="I72" s="140">
        <v>0.56210000000000004</v>
      </c>
      <c r="J72" s="140">
        <v>0.13292770000000001</v>
      </c>
      <c r="K72" s="65">
        <v>0.56530000000000002</v>
      </c>
      <c r="L72" s="65">
        <v>0.36099999999999999</v>
      </c>
      <c r="M72" s="65">
        <v>6.3606599999999999E-2</v>
      </c>
      <c r="N72" s="65"/>
      <c r="O72"/>
      <c r="P72" s="67"/>
      <c r="Q72" s="67"/>
      <c r="R72" s="67"/>
      <c r="S72" s="65"/>
      <c r="T72" s="65"/>
      <c r="U72" s="65"/>
      <c r="V72" s="65">
        <v>0</v>
      </c>
      <c r="W72" s="118"/>
      <c r="X72" s="65"/>
      <c r="Y72" s="65"/>
      <c r="Z72" s="65"/>
      <c r="AA72" s="67">
        <v>0</v>
      </c>
      <c r="AB72" s="65"/>
      <c r="AC72" s="65"/>
      <c r="AD72" s="65"/>
      <c r="AE72" s="65">
        <v>20.900000000000006</v>
      </c>
      <c r="AF72" s="65">
        <v>30.6</v>
      </c>
      <c r="AG72" s="65">
        <v>64.8</v>
      </c>
      <c r="AH72" s="65"/>
      <c r="AI72" s="67"/>
      <c r="AJ72" s="67"/>
      <c r="AK72" s="67"/>
      <c r="AL72" s="65"/>
      <c r="AM72" s="67"/>
      <c r="AN72" s="67">
        <v>1082400</v>
      </c>
      <c r="AO72" s="67"/>
      <c r="AP72" s="65"/>
      <c r="AQ72" s="66"/>
      <c r="AR72" s="118"/>
    </row>
    <row r="73" spans="1:44" x14ac:dyDescent="0.25">
      <c r="A73" s="16" t="s">
        <v>438</v>
      </c>
      <c r="B73" s="11" t="s">
        <v>576</v>
      </c>
      <c r="C73" s="126" t="s">
        <v>663</v>
      </c>
      <c r="D73" s="67">
        <v>88498</v>
      </c>
      <c r="E73" s="67">
        <v>0</v>
      </c>
      <c r="F73" s="67">
        <v>39108</v>
      </c>
      <c r="G73" s="67">
        <v>3</v>
      </c>
      <c r="H73" s="67">
        <v>194</v>
      </c>
      <c r="I73" s="140">
        <v>0.64119999999999999</v>
      </c>
      <c r="J73" s="140">
        <v>1.5887999999999999E-2</v>
      </c>
      <c r="K73" s="65">
        <v>0.6159</v>
      </c>
      <c r="L73" s="65">
        <v>0.34100000000000003</v>
      </c>
      <c r="M73" s="65">
        <v>5.09036E-2</v>
      </c>
      <c r="N73" s="65"/>
      <c r="O73"/>
      <c r="P73" s="67"/>
      <c r="Q73" s="67"/>
      <c r="R73" s="67"/>
      <c r="S73" s="65"/>
      <c r="T73" s="65"/>
      <c r="U73" s="65"/>
      <c r="V73" s="65">
        <v>0</v>
      </c>
      <c r="W73" s="118"/>
      <c r="X73" s="65"/>
      <c r="Y73" s="65"/>
      <c r="Z73" s="65"/>
      <c r="AA73" s="67">
        <v>51270</v>
      </c>
      <c r="AB73" s="65"/>
      <c r="AC73" s="65"/>
      <c r="AD73" s="65"/>
      <c r="AE73" s="65">
        <v>88.8</v>
      </c>
      <c r="AF73" s="65">
        <v>47.3</v>
      </c>
      <c r="AG73" s="65">
        <v>98</v>
      </c>
      <c r="AH73" s="65"/>
      <c r="AI73" s="67"/>
      <c r="AJ73" s="67"/>
      <c r="AK73" s="67"/>
      <c r="AL73" s="65"/>
      <c r="AM73" s="67"/>
      <c r="AN73" s="67">
        <v>3643759</v>
      </c>
      <c r="AO73" s="67"/>
      <c r="AP73" s="65"/>
      <c r="AQ73" s="66"/>
      <c r="AR73" s="118"/>
    </row>
    <row r="74" spans="1:44" x14ac:dyDescent="0.25">
      <c r="A74" s="16" t="s">
        <v>439</v>
      </c>
      <c r="B74" s="11" t="s">
        <v>576</v>
      </c>
      <c r="C74" s="126" t="s">
        <v>664</v>
      </c>
      <c r="D74" s="67">
        <v>154167</v>
      </c>
      <c r="E74" s="67">
        <v>0</v>
      </c>
      <c r="F74" s="67">
        <v>92689</v>
      </c>
      <c r="G74" s="67">
        <v>4</v>
      </c>
      <c r="H74" s="67">
        <v>12</v>
      </c>
      <c r="I74" s="140">
        <v>0.52329999999999999</v>
      </c>
      <c r="J74" s="140">
        <v>0.2498022</v>
      </c>
      <c r="K74" s="65">
        <v>0.64410000000000001</v>
      </c>
      <c r="L74" s="65">
        <v>0.376</v>
      </c>
      <c r="M74" s="65">
        <v>0.23819850000000001</v>
      </c>
      <c r="N74" s="65"/>
      <c r="O74"/>
      <c r="P74" s="67"/>
      <c r="Q74" s="67"/>
      <c r="R74" s="67"/>
      <c r="S74" s="65"/>
      <c r="T74" s="65"/>
      <c r="U74" s="65"/>
      <c r="V74" s="65">
        <v>0</v>
      </c>
      <c r="W74" s="118"/>
      <c r="X74" s="65"/>
      <c r="Y74" s="65"/>
      <c r="Z74" s="65"/>
      <c r="AA74" s="67">
        <v>0</v>
      </c>
      <c r="AB74" s="65"/>
      <c r="AC74" s="65"/>
      <c r="AD74" s="65"/>
      <c r="AE74" s="65">
        <v>16.200000000000003</v>
      </c>
      <c r="AF74" s="65">
        <v>23</v>
      </c>
      <c r="AG74" s="65">
        <v>47.8</v>
      </c>
      <c r="AH74" s="65"/>
      <c r="AI74" s="67"/>
      <c r="AJ74" s="67"/>
      <c r="AK74" s="67"/>
      <c r="AL74" s="65"/>
      <c r="AM74" s="67"/>
      <c r="AN74" s="67">
        <v>1822458</v>
      </c>
      <c r="AO74" s="67"/>
      <c r="AP74" s="65"/>
      <c r="AQ74" s="66"/>
      <c r="AR74" s="118"/>
    </row>
    <row r="75" spans="1:44" x14ac:dyDescent="0.25">
      <c r="A75" s="16" t="s">
        <v>440</v>
      </c>
      <c r="B75" s="11" t="s">
        <v>576</v>
      </c>
      <c r="C75" s="126" t="s">
        <v>665</v>
      </c>
      <c r="D75" s="67">
        <v>112823</v>
      </c>
      <c r="E75" s="67">
        <v>0</v>
      </c>
      <c r="F75" s="67">
        <v>28810</v>
      </c>
      <c r="G75" s="67">
        <v>4</v>
      </c>
      <c r="H75" s="67">
        <v>1</v>
      </c>
      <c r="I75" s="140">
        <v>0.51649999999999996</v>
      </c>
      <c r="J75" s="140">
        <v>0.2498022</v>
      </c>
      <c r="K75" s="65">
        <v>0.65210000000000001</v>
      </c>
      <c r="L75" s="65">
        <v>0.34299999999999997</v>
      </c>
      <c r="M75" s="65">
        <v>0.23819850000000001</v>
      </c>
      <c r="N75" s="65"/>
      <c r="O75"/>
      <c r="P75" s="67"/>
      <c r="Q75" s="67"/>
      <c r="R75" s="67"/>
      <c r="S75" s="65"/>
      <c r="T75" s="65"/>
      <c r="U75" s="65"/>
      <c r="V75" s="65">
        <v>0</v>
      </c>
      <c r="W75" s="118"/>
      <c r="X75" s="65"/>
      <c r="Y75" s="65"/>
      <c r="Z75" s="65"/>
      <c r="AA75" s="67">
        <v>0</v>
      </c>
      <c r="AB75" s="65"/>
      <c r="AC75" s="65"/>
      <c r="AD75" s="65"/>
      <c r="AE75" s="65">
        <v>16.200000000000003</v>
      </c>
      <c r="AF75" s="65">
        <v>23</v>
      </c>
      <c r="AG75" s="65">
        <v>47.8</v>
      </c>
      <c r="AH75" s="65"/>
      <c r="AI75" s="67"/>
      <c r="AJ75" s="67"/>
      <c r="AK75" s="67"/>
      <c r="AL75" s="65"/>
      <c r="AM75" s="67"/>
      <c r="AN75" s="67">
        <v>854603</v>
      </c>
      <c r="AO75" s="67"/>
      <c r="AP75" s="65"/>
      <c r="AQ75" s="66"/>
      <c r="AR75" s="118"/>
    </row>
    <row r="76" spans="1:44" x14ac:dyDescent="0.25">
      <c r="A76" s="16" t="s">
        <v>441</v>
      </c>
      <c r="B76" s="11" t="s">
        <v>576</v>
      </c>
      <c r="C76" s="126" t="s">
        <v>666</v>
      </c>
      <c r="D76" s="67">
        <v>96520</v>
      </c>
      <c r="E76" s="67">
        <v>0</v>
      </c>
      <c r="F76" s="67">
        <v>641827</v>
      </c>
      <c r="G76" s="67">
        <v>4</v>
      </c>
      <c r="H76" s="67">
        <v>20</v>
      </c>
      <c r="I76" s="140">
        <v>0.51119999999999999</v>
      </c>
      <c r="J76" s="140">
        <v>0.2498022</v>
      </c>
      <c r="K76" s="65">
        <v>0.6542</v>
      </c>
      <c r="L76" s="65">
        <v>0.315</v>
      </c>
      <c r="M76" s="65">
        <v>0.23819850000000001</v>
      </c>
      <c r="N76" s="65"/>
      <c r="O76"/>
      <c r="P76" s="67"/>
      <c r="Q76" s="67"/>
      <c r="R76" s="67"/>
      <c r="S76" s="65"/>
      <c r="T76" s="65"/>
      <c r="U76" s="65"/>
      <c r="V76" s="65">
        <v>0</v>
      </c>
      <c r="W76" s="118"/>
      <c r="X76" s="65"/>
      <c r="Y76" s="65"/>
      <c r="Z76" s="65"/>
      <c r="AA76" s="67">
        <v>0</v>
      </c>
      <c r="AB76" s="65"/>
      <c r="AC76" s="65"/>
      <c r="AD76" s="65"/>
      <c r="AE76" s="65">
        <v>16.200000000000003</v>
      </c>
      <c r="AF76" s="65">
        <v>23</v>
      </c>
      <c r="AG76" s="65">
        <v>47.8</v>
      </c>
      <c r="AH76" s="65"/>
      <c r="AI76" s="67"/>
      <c r="AJ76" s="67"/>
      <c r="AK76" s="67"/>
      <c r="AL76" s="65"/>
      <c r="AM76" s="67"/>
      <c r="AN76" s="67">
        <v>976438</v>
      </c>
      <c r="AO76" s="67"/>
      <c r="AP76" s="65"/>
      <c r="AQ76" s="66"/>
      <c r="AR76" s="118"/>
    </row>
    <row r="77" spans="1:44" x14ac:dyDescent="0.25">
      <c r="A77" s="16" t="s">
        <v>442</v>
      </c>
      <c r="B77" s="11" t="s">
        <v>576</v>
      </c>
      <c r="C77" s="126" t="s">
        <v>667</v>
      </c>
      <c r="D77" s="67">
        <v>100799</v>
      </c>
      <c r="E77" s="67">
        <v>0</v>
      </c>
      <c r="F77" s="67">
        <v>9693</v>
      </c>
      <c r="G77" s="67">
        <v>0</v>
      </c>
      <c r="H77" s="67">
        <v>0</v>
      </c>
      <c r="I77" s="140">
        <v>0.54279999999999995</v>
      </c>
      <c r="J77" s="140">
        <v>0.23862330000000001</v>
      </c>
      <c r="K77" s="65">
        <v>0.64659999999999995</v>
      </c>
      <c r="L77" s="65">
        <v>0.39399999999999996</v>
      </c>
      <c r="M77" s="65">
        <v>9.9048600000000001E-2</v>
      </c>
      <c r="N77" s="65"/>
      <c r="O77"/>
      <c r="P77" s="67"/>
      <c r="Q77" s="67"/>
      <c r="R77" s="67"/>
      <c r="S77" s="65"/>
      <c r="T77" s="65"/>
      <c r="U77" s="65"/>
      <c r="V77" s="65">
        <v>0</v>
      </c>
      <c r="W77" s="118"/>
      <c r="X77" s="65"/>
      <c r="Y77" s="65"/>
      <c r="Z77" s="65"/>
      <c r="AA77" s="67">
        <v>0</v>
      </c>
      <c r="AB77" s="65"/>
      <c r="AC77" s="65"/>
      <c r="AD77" s="65"/>
      <c r="AE77" s="65">
        <v>11.799999999999997</v>
      </c>
      <c r="AF77" s="65">
        <v>19.7</v>
      </c>
      <c r="AG77" s="65">
        <v>43.9</v>
      </c>
      <c r="AH77" s="65"/>
      <c r="AI77" s="67"/>
      <c r="AJ77" s="67"/>
      <c r="AK77" s="67"/>
      <c r="AL77" s="65"/>
      <c r="AM77" s="67"/>
      <c r="AN77" s="67">
        <v>674896</v>
      </c>
      <c r="AO77" s="67"/>
      <c r="AP77" s="65"/>
      <c r="AQ77" s="66"/>
      <c r="AR77" s="118"/>
    </row>
    <row r="78" spans="1:44" x14ac:dyDescent="0.25">
      <c r="A78" s="16" t="s">
        <v>443</v>
      </c>
      <c r="B78" s="11" t="s">
        <v>576</v>
      </c>
      <c r="C78" s="126" t="s">
        <v>668</v>
      </c>
      <c r="D78" s="67">
        <v>17276</v>
      </c>
      <c r="E78" s="67">
        <v>0</v>
      </c>
      <c r="F78" s="67">
        <v>11371</v>
      </c>
      <c r="G78" s="67">
        <v>3</v>
      </c>
      <c r="H78" s="67">
        <v>1</v>
      </c>
      <c r="I78" s="140">
        <v>0.53369999999999995</v>
      </c>
      <c r="J78" s="140">
        <v>0.13292770000000001</v>
      </c>
      <c r="K78" s="65">
        <v>0.6008</v>
      </c>
      <c r="L78" s="65">
        <v>0.39399999999999996</v>
      </c>
      <c r="M78" s="65">
        <v>6.3606599999999999E-2</v>
      </c>
      <c r="N78" s="65"/>
      <c r="O78"/>
      <c r="P78" s="67"/>
      <c r="Q78" s="67"/>
      <c r="R78" s="67"/>
      <c r="S78" s="65"/>
      <c r="T78" s="65"/>
      <c r="U78" s="65"/>
      <c r="V78" s="65">
        <v>0</v>
      </c>
      <c r="W78" s="118"/>
      <c r="X78" s="65"/>
      <c r="Y78" s="65"/>
      <c r="Z78" s="65"/>
      <c r="AA78" s="67">
        <v>0</v>
      </c>
      <c r="AB78" s="65"/>
      <c r="AC78" s="65"/>
      <c r="AD78" s="65"/>
      <c r="AE78" s="65">
        <v>20.900000000000006</v>
      </c>
      <c r="AF78" s="65">
        <v>30.6</v>
      </c>
      <c r="AG78" s="65">
        <v>64.8</v>
      </c>
      <c r="AH78" s="65"/>
      <c r="AI78" s="67"/>
      <c r="AJ78" s="67"/>
      <c r="AK78" s="67"/>
      <c r="AL78" s="65"/>
      <c r="AM78" s="67"/>
      <c r="AN78" s="67">
        <v>722357</v>
      </c>
      <c r="AO78" s="67"/>
      <c r="AP78" s="65"/>
      <c r="AQ78" s="66"/>
      <c r="AR78" s="118"/>
    </row>
    <row r="79" spans="1:44" x14ac:dyDescent="0.25">
      <c r="A79" s="16" t="s">
        <v>444</v>
      </c>
      <c r="B79" s="11" t="s">
        <v>576</v>
      </c>
      <c r="C79" s="126" t="s">
        <v>669</v>
      </c>
      <c r="D79" s="67">
        <v>147882</v>
      </c>
      <c r="E79" s="67">
        <v>437</v>
      </c>
      <c r="F79" s="67">
        <v>81994</v>
      </c>
      <c r="G79" s="67">
        <v>3</v>
      </c>
      <c r="H79" s="67">
        <v>4</v>
      </c>
      <c r="I79" s="140">
        <v>0.5897</v>
      </c>
      <c r="J79" s="140">
        <v>0.13292770000000001</v>
      </c>
      <c r="K79" s="65">
        <v>0.52959999999999996</v>
      </c>
      <c r="L79" s="65">
        <v>0.36499999999999999</v>
      </c>
      <c r="M79" s="65">
        <v>6.3606599999999999E-2</v>
      </c>
      <c r="N79" s="65"/>
      <c r="O79"/>
      <c r="P79" s="67"/>
      <c r="Q79" s="67"/>
      <c r="R79" s="67"/>
      <c r="S79" s="65"/>
      <c r="T79" s="65"/>
      <c r="U79" s="65"/>
      <c r="V79" s="65">
        <v>10</v>
      </c>
      <c r="W79" s="118"/>
      <c r="X79" s="65"/>
      <c r="Y79" s="65"/>
      <c r="Z79" s="65"/>
      <c r="AA79" s="67">
        <v>0</v>
      </c>
      <c r="AB79" s="65"/>
      <c r="AC79" s="65"/>
      <c r="AD79" s="65"/>
      <c r="AE79" s="65">
        <v>20.900000000000006</v>
      </c>
      <c r="AF79" s="65">
        <v>30.6</v>
      </c>
      <c r="AG79" s="65">
        <v>64.8</v>
      </c>
      <c r="AH79" s="65"/>
      <c r="AI79" s="67"/>
      <c r="AJ79" s="67"/>
      <c r="AK79" s="67"/>
      <c r="AL79" s="65"/>
      <c r="AM79" s="67"/>
      <c r="AN79" s="67">
        <v>788355</v>
      </c>
      <c r="AO79" s="67"/>
      <c r="AP79" s="65"/>
      <c r="AQ79" s="66"/>
      <c r="AR79" s="118"/>
    </row>
    <row r="80" spans="1:44" x14ac:dyDescent="0.25">
      <c r="A80" s="16" t="s">
        <v>445</v>
      </c>
      <c r="B80" s="11" t="s">
        <v>576</v>
      </c>
      <c r="C80" s="126" t="s">
        <v>670</v>
      </c>
      <c r="D80" s="67">
        <v>10446</v>
      </c>
      <c r="E80" s="67">
        <v>138562</v>
      </c>
      <c r="F80" s="67">
        <v>243</v>
      </c>
      <c r="G80" s="67">
        <v>4</v>
      </c>
      <c r="H80" s="67">
        <v>30</v>
      </c>
      <c r="I80" s="140">
        <v>0.4264</v>
      </c>
      <c r="J80" s="140">
        <v>0.2498022</v>
      </c>
      <c r="K80" s="65">
        <v>0.66049999999999998</v>
      </c>
      <c r="L80" s="65">
        <v>0.318</v>
      </c>
      <c r="M80" s="65">
        <v>0.23819850000000001</v>
      </c>
      <c r="N80" s="65"/>
      <c r="O80"/>
      <c r="P80" s="67"/>
      <c r="Q80" s="67"/>
      <c r="R80" s="67"/>
      <c r="S80" s="65"/>
      <c r="T80" s="65"/>
      <c r="U80" s="65"/>
      <c r="V80" s="65">
        <v>32</v>
      </c>
      <c r="W80" s="118"/>
      <c r="X80" s="65"/>
      <c r="Y80" s="65"/>
      <c r="Z80" s="65"/>
      <c r="AA80" s="67">
        <v>0</v>
      </c>
      <c r="AB80" s="65"/>
      <c r="AC80" s="65"/>
      <c r="AD80" s="65"/>
      <c r="AE80" s="65">
        <v>16.200000000000003</v>
      </c>
      <c r="AF80" s="65">
        <v>23</v>
      </c>
      <c r="AG80" s="65">
        <v>47.8</v>
      </c>
      <c r="AH80" s="65"/>
      <c r="AI80" s="67"/>
      <c r="AJ80" s="67"/>
      <c r="AK80" s="67"/>
      <c r="AL80" s="65"/>
      <c r="AM80" s="67"/>
      <c r="AN80" s="67">
        <v>254835</v>
      </c>
      <c r="AO80" s="67"/>
      <c r="AP80" s="65"/>
      <c r="AQ80" s="66"/>
      <c r="AR80" s="118"/>
    </row>
    <row r="81" spans="1:44" x14ac:dyDescent="0.25">
      <c r="A81" s="16" t="s">
        <v>446</v>
      </c>
      <c r="B81" s="11" t="s">
        <v>576</v>
      </c>
      <c r="C81" s="126" t="s">
        <v>671</v>
      </c>
      <c r="D81" s="67">
        <v>555937</v>
      </c>
      <c r="E81" s="67">
        <v>0</v>
      </c>
      <c r="F81" s="67">
        <v>199402</v>
      </c>
      <c r="G81" s="67">
        <v>0</v>
      </c>
      <c r="H81" s="67">
        <v>4</v>
      </c>
      <c r="I81" s="140">
        <v>0.44490000000000002</v>
      </c>
      <c r="J81" s="140">
        <v>0.23862330000000001</v>
      </c>
      <c r="K81" s="65">
        <v>0.65100000000000002</v>
      </c>
      <c r="L81" s="65">
        <v>0.40500000000000003</v>
      </c>
      <c r="M81" s="65">
        <v>9.9048600000000001E-2</v>
      </c>
      <c r="N81" s="65"/>
      <c r="O81"/>
      <c r="P81" s="67"/>
      <c r="Q81" s="67"/>
      <c r="R81" s="67"/>
      <c r="S81" s="65"/>
      <c r="T81" s="65"/>
      <c r="U81" s="65"/>
      <c r="V81" s="65">
        <v>0</v>
      </c>
      <c r="W81" s="118"/>
      <c r="X81" s="65"/>
      <c r="Y81" s="65"/>
      <c r="Z81" s="65"/>
      <c r="AA81" s="67">
        <v>0</v>
      </c>
      <c r="AB81" s="65"/>
      <c r="AC81" s="65"/>
      <c r="AD81" s="65"/>
      <c r="AE81" s="65">
        <v>11.799999999999997</v>
      </c>
      <c r="AF81" s="65">
        <v>19.7</v>
      </c>
      <c r="AG81" s="65">
        <v>43.9</v>
      </c>
      <c r="AH81" s="65"/>
      <c r="AI81" s="67"/>
      <c r="AJ81" s="67"/>
      <c r="AK81" s="67"/>
      <c r="AL81" s="65"/>
      <c r="AM81" s="67"/>
      <c r="AN81" s="67">
        <v>969684</v>
      </c>
      <c r="AO81" s="67"/>
      <c r="AP81" s="65"/>
      <c r="AQ81" s="66"/>
      <c r="AR81" s="118"/>
    </row>
    <row r="82" spans="1:44" x14ac:dyDescent="0.25">
      <c r="A82" s="16" t="s">
        <v>447</v>
      </c>
      <c r="B82" s="11" t="s">
        <v>576</v>
      </c>
      <c r="C82" s="126" t="s">
        <v>672</v>
      </c>
      <c r="D82" s="67">
        <v>28</v>
      </c>
      <c r="E82" s="67">
        <v>180839</v>
      </c>
      <c r="F82" s="67">
        <v>0</v>
      </c>
      <c r="G82" s="67">
        <v>4</v>
      </c>
      <c r="H82" s="67">
        <v>2</v>
      </c>
      <c r="I82" s="140">
        <v>0.53600000000000003</v>
      </c>
      <c r="J82" s="140">
        <v>0.25462669999999998</v>
      </c>
      <c r="K82" s="65">
        <v>0.6</v>
      </c>
      <c r="L82" s="65">
        <v>0.43700000000000006</v>
      </c>
      <c r="M82" s="65">
        <v>0.20785670000000001</v>
      </c>
      <c r="N82" s="65"/>
      <c r="O82"/>
      <c r="P82" s="67"/>
      <c r="Q82" s="67"/>
      <c r="R82" s="67"/>
      <c r="S82" s="65"/>
      <c r="T82" s="65"/>
      <c r="U82" s="65"/>
      <c r="V82" s="65">
        <v>22</v>
      </c>
      <c r="W82" s="118"/>
      <c r="X82" s="65"/>
      <c r="Y82" s="65"/>
      <c r="Z82" s="65"/>
      <c r="AA82" s="67">
        <v>0</v>
      </c>
      <c r="AB82" s="65"/>
      <c r="AC82" s="65"/>
      <c r="AD82" s="65"/>
      <c r="AE82" s="65">
        <v>26.5</v>
      </c>
      <c r="AF82" s="65">
        <v>21.7</v>
      </c>
      <c r="AG82" s="65">
        <v>55.1</v>
      </c>
      <c r="AH82" s="65"/>
      <c r="AI82" s="67"/>
      <c r="AJ82" s="67"/>
      <c r="AK82" s="67"/>
      <c r="AL82" s="65"/>
      <c r="AM82" s="67"/>
      <c r="AN82" s="67">
        <v>328122</v>
      </c>
      <c r="AO82" s="67"/>
      <c r="AP82" s="65"/>
      <c r="AQ82" s="66"/>
      <c r="AR82" s="118"/>
    </row>
    <row r="83" spans="1:44" x14ac:dyDescent="0.25">
      <c r="A83" s="16" t="s">
        <v>448</v>
      </c>
      <c r="B83" s="11" t="s">
        <v>576</v>
      </c>
      <c r="C83" s="126" t="s">
        <v>673</v>
      </c>
      <c r="D83" s="67">
        <v>8</v>
      </c>
      <c r="E83" s="67">
        <v>95197</v>
      </c>
      <c r="F83" s="67">
        <v>0</v>
      </c>
      <c r="G83" s="67">
        <v>4</v>
      </c>
      <c r="H83" s="67">
        <v>187</v>
      </c>
      <c r="I83" s="140">
        <v>0.40100000000000002</v>
      </c>
      <c r="J83" s="140">
        <v>0.25462669999999998</v>
      </c>
      <c r="K83" s="65">
        <v>0.68540000000000001</v>
      </c>
      <c r="L83" s="65">
        <v>0.61699999999999999</v>
      </c>
      <c r="M83" s="65">
        <v>0.20785670000000001</v>
      </c>
      <c r="N83" s="65"/>
      <c r="O83"/>
      <c r="P83" s="67"/>
      <c r="Q83" s="67"/>
      <c r="R83" s="67"/>
      <c r="S83" s="65"/>
      <c r="T83" s="65"/>
      <c r="U83" s="65"/>
      <c r="V83" s="65">
        <v>18</v>
      </c>
      <c r="W83" s="118"/>
      <c r="X83" s="65"/>
      <c r="Y83" s="65"/>
      <c r="Z83" s="65"/>
      <c r="AA83" s="67">
        <v>0</v>
      </c>
      <c r="AB83" s="65"/>
      <c r="AC83" s="65"/>
      <c r="AD83" s="65"/>
      <c r="AE83" s="65">
        <v>26.5</v>
      </c>
      <c r="AF83" s="65">
        <v>21.7</v>
      </c>
      <c r="AG83" s="65">
        <v>55.1</v>
      </c>
      <c r="AH83" s="65"/>
      <c r="AI83" s="67"/>
      <c r="AJ83" s="67"/>
      <c r="AK83" s="67"/>
      <c r="AL83" s="65"/>
      <c r="AM83" s="67"/>
      <c r="AN83" s="67">
        <v>288425</v>
      </c>
      <c r="AO83" s="67"/>
      <c r="AP83" s="65"/>
      <c r="AQ83" s="66"/>
      <c r="AR83" s="118"/>
    </row>
    <row r="84" spans="1:44" x14ac:dyDescent="0.25">
      <c r="A84" s="16" t="s">
        <v>449</v>
      </c>
      <c r="B84" s="11" t="s">
        <v>576</v>
      </c>
      <c r="C84" s="126" t="s">
        <v>674</v>
      </c>
      <c r="D84" s="67">
        <v>53744</v>
      </c>
      <c r="E84" s="67">
        <v>330716</v>
      </c>
      <c r="F84" s="67">
        <v>0</v>
      </c>
      <c r="G84" s="67">
        <v>3</v>
      </c>
      <c r="H84" s="67">
        <v>1</v>
      </c>
      <c r="I84" s="140">
        <v>0.51490000000000002</v>
      </c>
      <c r="J84" s="140">
        <v>0.2482491</v>
      </c>
      <c r="K84" s="65">
        <v>0.58299999999999996</v>
      </c>
      <c r="L84" s="65">
        <v>0.39799999999999996</v>
      </c>
      <c r="M84" s="65">
        <v>0.14150750000000001</v>
      </c>
      <c r="N84" s="65"/>
      <c r="O84"/>
      <c r="P84" s="67"/>
      <c r="Q84" s="67"/>
      <c r="R84" s="67"/>
      <c r="S84" s="65"/>
      <c r="T84" s="65"/>
      <c r="U84" s="65"/>
      <c r="V84" s="65">
        <v>13</v>
      </c>
      <c r="W84" s="118"/>
      <c r="X84" s="65"/>
      <c r="Y84" s="65"/>
      <c r="Z84" s="65"/>
      <c r="AA84" s="67">
        <v>0</v>
      </c>
      <c r="AB84" s="65"/>
      <c r="AC84" s="65"/>
      <c r="AD84" s="65"/>
      <c r="AE84" s="65">
        <v>7.2000000000000028</v>
      </c>
      <c r="AF84" s="65">
        <v>19.899999999999999</v>
      </c>
      <c r="AG84" s="65">
        <v>41.9</v>
      </c>
      <c r="AH84" s="65"/>
      <c r="AI84" s="67"/>
      <c r="AJ84" s="67"/>
      <c r="AK84" s="67"/>
      <c r="AL84" s="65"/>
      <c r="AM84" s="67"/>
      <c r="AN84" s="67">
        <v>423409</v>
      </c>
      <c r="AO84" s="67"/>
      <c r="AP84" s="65"/>
      <c r="AQ84" s="66"/>
      <c r="AR84" s="118"/>
    </row>
    <row r="85" spans="1:44" x14ac:dyDescent="0.25">
      <c r="A85" s="16" t="s">
        <v>450</v>
      </c>
      <c r="B85" s="11" t="s">
        <v>576</v>
      </c>
      <c r="C85" s="126" t="s">
        <v>675</v>
      </c>
      <c r="D85" s="67">
        <v>65212</v>
      </c>
      <c r="E85" s="67">
        <v>0</v>
      </c>
      <c r="F85" s="67">
        <v>1379</v>
      </c>
      <c r="G85" s="67">
        <v>4</v>
      </c>
      <c r="H85" s="67">
        <v>4</v>
      </c>
      <c r="I85" s="140">
        <v>0.50129999999999997</v>
      </c>
      <c r="J85" s="140">
        <v>0.2498022</v>
      </c>
      <c r="K85" s="65">
        <v>0.61990000000000001</v>
      </c>
      <c r="L85" s="65">
        <v>0.36</v>
      </c>
      <c r="M85" s="65">
        <v>0.23819850000000001</v>
      </c>
      <c r="N85" s="65"/>
      <c r="O85"/>
      <c r="P85" s="67"/>
      <c r="Q85" s="67"/>
      <c r="R85" s="67"/>
      <c r="S85" s="65"/>
      <c r="T85" s="65"/>
      <c r="U85" s="65"/>
      <c r="V85" s="65">
        <v>0</v>
      </c>
      <c r="W85" s="118"/>
      <c r="X85" s="65"/>
      <c r="Y85" s="65"/>
      <c r="Z85" s="65"/>
      <c r="AA85" s="67">
        <v>0</v>
      </c>
      <c r="AB85" s="65"/>
      <c r="AC85" s="65"/>
      <c r="AD85" s="65"/>
      <c r="AE85" s="65">
        <v>16.200000000000003</v>
      </c>
      <c r="AF85" s="65">
        <v>23</v>
      </c>
      <c r="AG85" s="65">
        <v>47.8</v>
      </c>
      <c r="AH85" s="65"/>
      <c r="AI85" s="67"/>
      <c r="AJ85" s="67"/>
      <c r="AK85" s="67"/>
      <c r="AL85" s="65"/>
      <c r="AM85" s="67"/>
      <c r="AN85" s="67">
        <v>939781</v>
      </c>
      <c r="AO85" s="67"/>
      <c r="AP85" s="65"/>
      <c r="AQ85" s="66"/>
      <c r="AR85" s="118"/>
    </row>
    <row r="86" spans="1:44" x14ac:dyDescent="0.25">
      <c r="A86" s="16" t="s">
        <v>451</v>
      </c>
      <c r="B86" s="11" t="s">
        <v>576</v>
      </c>
      <c r="C86" s="126" t="s">
        <v>676</v>
      </c>
      <c r="D86" s="67">
        <v>153055</v>
      </c>
      <c r="E86" s="67">
        <v>466825</v>
      </c>
      <c r="F86" s="67">
        <v>9374</v>
      </c>
      <c r="G86" s="67">
        <v>4</v>
      </c>
      <c r="H86" s="67">
        <v>144</v>
      </c>
      <c r="I86" s="140">
        <v>0.37409999999999999</v>
      </c>
      <c r="J86" s="140">
        <v>0.2498022</v>
      </c>
      <c r="K86" s="65">
        <v>0.65290000000000004</v>
      </c>
      <c r="L86" s="65">
        <v>0.28300000000000003</v>
      </c>
      <c r="M86" s="65">
        <v>0.23819850000000001</v>
      </c>
      <c r="N86" s="65"/>
      <c r="O86"/>
      <c r="P86" s="67"/>
      <c r="Q86" s="67"/>
      <c r="R86" s="67"/>
      <c r="S86" s="65"/>
      <c r="T86" s="65"/>
      <c r="U86" s="65"/>
      <c r="V86" s="65">
        <v>29</v>
      </c>
      <c r="W86" s="118"/>
      <c r="X86" s="65"/>
      <c r="Y86" s="65"/>
      <c r="Z86" s="65"/>
      <c r="AA86" s="67">
        <v>178079</v>
      </c>
      <c r="AB86" s="65"/>
      <c r="AC86" s="65"/>
      <c r="AD86" s="65"/>
      <c r="AE86" s="65">
        <v>16.200000000000003</v>
      </c>
      <c r="AF86" s="65">
        <v>23</v>
      </c>
      <c r="AG86" s="65">
        <v>47.8</v>
      </c>
      <c r="AH86" s="65"/>
      <c r="AI86" s="67"/>
      <c r="AJ86" s="67"/>
      <c r="AK86" s="67"/>
      <c r="AL86" s="65"/>
      <c r="AM86" s="67"/>
      <c r="AN86" s="67">
        <v>1009037</v>
      </c>
      <c r="AO86" s="67"/>
      <c r="AP86" s="65"/>
      <c r="AQ86" s="66"/>
      <c r="AR86" s="118"/>
    </row>
    <row r="87" spans="1:44" x14ac:dyDescent="0.25">
      <c r="A87" s="16" t="s">
        <v>452</v>
      </c>
      <c r="B87" s="11" t="s">
        <v>576</v>
      </c>
      <c r="C87" s="126" t="s">
        <v>677</v>
      </c>
      <c r="D87" s="67">
        <v>227188</v>
      </c>
      <c r="E87" s="67">
        <v>0</v>
      </c>
      <c r="F87" s="67">
        <v>406218</v>
      </c>
      <c r="G87" s="67">
        <v>4</v>
      </c>
      <c r="H87" s="67">
        <v>5</v>
      </c>
      <c r="I87" s="140">
        <v>0.57269999999999999</v>
      </c>
      <c r="J87" s="140">
        <v>0.2498022</v>
      </c>
      <c r="K87" s="65">
        <v>0.62990000000000002</v>
      </c>
      <c r="L87" s="65">
        <v>0.37</v>
      </c>
      <c r="M87" s="65">
        <v>0.23819850000000001</v>
      </c>
      <c r="N87" s="65"/>
      <c r="O87"/>
      <c r="P87" s="67"/>
      <c r="Q87" s="67"/>
      <c r="R87" s="67"/>
      <c r="S87" s="65"/>
      <c r="T87" s="65"/>
      <c r="U87" s="65"/>
      <c r="V87" s="65">
        <v>0</v>
      </c>
      <c r="W87" s="118"/>
      <c r="X87" s="65"/>
      <c r="Y87" s="65"/>
      <c r="Z87" s="65"/>
      <c r="AA87" s="67">
        <v>0</v>
      </c>
      <c r="AB87" s="65"/>
      <c r="AC87" s="65"/>
      <c r="AD87" s="65"/>
      <c r="AE87" s="65">
        <v>16.200000000000003</v>
      </c>
      <c r="AF87" s="65">
        <v>23</v>
      </c>
      <c r="AG87" s="65">
        <v>47.8</v>
      </c>
      <c r="AH87" s="65"/>
      <c r="AI87" s="67"/>
      <c r="AJ87" s="67"/>
      <c r="AK87" s="67"/>
      <c r="AL87" s="65"/>
      <c r="AM87" s="67"/>
      <c r="AN87" s="67">
        <v>1071059</v>
      </c>
      <c r="AO87" s="67"/>
      <c r="AP87" s="65"/>
      <c r="AQ87" s="66"/>
      <c r="AR87" s="118"/>
    </row>
    <row r="88" spans="1:44" x14ac:dyDescent="0.25">
      <c r="A88" s="16" t="s">
        <v>453</v>
      </c>
      <c r="B88" s="11" t="s">
        <v>576</v>
      </c>
      <c r="C88" s="126" t="s">
        <v>678</v>
      </c>
      <c r="D88" s="67">
        <v>266192</v>
      </c>
      <c r="E88" s="67">
        <v>0</v>
      </c>
      <c r="F88" s="67">
        <v>3706</v>
      </c>
      <c r="G88" s="67">
        <v>0</v>
      </c>
      <c r="H88" s="67">
        <v>10</v>
      </c>
      <c r="I88" s="140">
        <v>0.50029999999999997</v>
      </c>
      <c r="J88" s="140">
        <v>0.25403110000000001</v>
      </c>
      <c r="K88" s="65">
        <v>0.62709999999999999</v>
      </c>
      <c r="L88" s="65">
        <v>0.39899999999999997</v>
      </c>
      <c r="M88" s="65">
        <v>8.8341799999999998E-2</v>
      </c>
      <c r="N88" s="65"/>
      <c r="O88"/>
      <c r="P88" s="67"/>
      <c r="Q88" s="67"/>
      <c r="R88" s="67"/>
      <c r="S88" s="65"/>
      <c r="T88" s="65"/>
      <c r="U88" s="65"/>
      <c r="V88" s="65">
        <v>0</v>
      </c>
      <c r="W88" s="118"/>
      <c r="X88" s="65"/>
      <c r="Y88" s="65"/>
      <c r="Z88" s="65"/>
      <c r="AA88" s="67">
        <v>0</v>
      </c>
      <c r="AB88" s="65"/>
      <c r="AC88" s="65"/>
      <c r="AD88" s="65"/>
      <c r="AE88" s="65">
        <v>4.5999999999999943</v>
      </c>
      <c r="AF88" s="65">
        <v>29.5</v>
      </c>
      <c r="AG88" s="65">
        <v>64.099999999999994</v>
      </c>
      <c r="AH88" s="65"/>
      <c r="AI88" s="67"/>
      <c r="AJ88" s="67"/>
      <c r="AK88" s="67"/>
      <c r="AL88" s="65"/>
      <c r="AM88" s="67"/>
      <c r="AN88" s="67">
        <v>620214</v>
      </c>
      <c r="AO88" s="67"/>
      <c r="AP88" s="65"/>
      <c r="AQ88" s="66"/>
      <c r="AR88" s="118"/>
    </row>
    <row r="89" spans="1:44" x14ac:dyDescent="0.25">
      <c r="A89" s="16" t="s">
        <v>454</v>
      </c>
      <c r="B89" s="11" t="s">
        <v>576</v>
      </c>
      <c r="C89" s="126" t="s">
        <v>679</v>
      </c>
      <c r="D89" s="67">
        <v>32483</v>
      </c>
      <c r="E89" s="67">
        <v>515839</v>
      </c>
      <c r="F89" s="67">
        <v>0</v>
      </c>
      <c r="G89" s="67">
        <v>3</v>
      </c>
      <c r="H89" s="67">
        <v>82</v>
      </c>
      <c r="I89" s="140">
        <v>0.42120000000000002</v>
      </c>
      <c r="J89" s="140">
        <v>0.51632370000000005</v>
      </c>
      <c r="K89" s="65">
        <v>0.73180000000000001</v>
      </c>
      <c r="L89" s="65">
        <v>0.32100000000000001</v>
      </c>
      <c r="M89" s="65">
        <v>0.2279669</v>
      </c>
      <c r="N89" s="65"/>
      <c r="O89"/>
      <c r="P89" s="67"/>
      <c r="Q89" s="67"/>
      <c r="R89" s="67"/>
      <c r="S89" s="65"/>
      <c r="T89" s="65"/>
      <c r="U89" s="65"/>
      <c r="V89" s="65">
        <v>24</v>
      </c>
      <c r="W89" s="118"/>
      <c r="X89" s="65"/>
      <c r="Y89" s="65"/>
      <c r="Z89" s="65"/>
      <c r="AA89" s="67">
        <v>0</v>
      </c>
      <c r="AB89" s="65"/>
      <c r="AC89" s="65"/>
      <c r="AD89" s="65"/>
      <c r="AE89" s="65">
        <v>9.9000000000000057</v>
      </c>
      <c r="AF89" s="65">
        <v>8.5</v>
      </c>
      <c r="AG89" s="65">
        <v>42.4</v>
      </c>
      <c r="AH89" s="65"/>
      <c r="AI89" s="67"/>
      <c r="AJ89" s="67"/>
      <c r="AK89" s="67"/>
      <c r="AL89" s="65"/>
      <c r="AM89" s="67"/>
      <c r="AN89" s="67">
        <v>762141</v>
      </c>
      <c r="AO89" s="67"/>
      <c r="AP89" s="65"/>
      <c r="AQ89" s="66"/>
      <c r="AR89" s="118"/>
    </row>
    <row r="90" spans="1:44" x14ac:dyDescent="0.25">
      <c r="A90" s="16" t="s">
        <v>455</v>
      </c>
      <c r="B90" s="11" t="s">
        <v>576</v>
      </c>
      <c r="C90" s="126" t="s">
        <v>680</v>
      </c>
      <c r="D90" s="67">
        <v>108335</v>
      </c>
      <c r="E90" s="67">
        <v>32839</v>
      </c>
      <c r="F90" s="67">
        <v>79112</v>
      </c>
      <c r="G90" s="67">
        <v>4</v>
      </c>
      <c r="H90" s="67">
        <v>10</v>
      </c>
      <c r="I90" s="140">
        <v>0.45319999999999999</v>
      </c>
      <c r="J90" s="140">
        <v>0.2498022</v>
      </c>
      <c r="K90" s="65">
        <v>0.65439999999999998</v>
      </c>
      <c r="L90" s="65">
        <v>0.318</v>
      </c>
      <c r="M90" s="65">
        <v>0.23819850000000001</v>
      </c>
      <c r="N90" s="65"/>
      <c r="O90"/>
      <c r="P90" s="67"/>
      <c r="Q90" s="67"/>
      <c r="R90" s="67"/>
      <c r="S90" s="65"/>
      <c r="T90" s="65"/>
      <c r="U90" s="65"/>
      <c r="V90" s="65">
        <v>11</v>
      </c>
      <c r="W90" s="118"/>
      <c r="X90" s="65"/>
      <c r="Y90" s="65"/>
      <c r="Z90" s="65"/>
      <c r="AA90" s="67">
        <v>0</v>
      </c>
      <c r="AB90" s="65"/>
      <c r="AC90" s="65"/>
      <c r="AD90" s="65"/>
      <c r="AE90" s="65">
        <v>16.200000000000003</v>
      </c>
      <c r="AF90" s="65">
        <v>23</v>
      </c>
      <c r="AG90" s="65">
        <v>47.8</v>
      </c>
      <c r="AH90" s="65"/>
      <c r="AI90" s="67"/>
      <c r="AJ90" s="67"/>
      <c r="AK90" s="67"/>
      <c r="AL90" s="65"/>
      <c r="AM90" s="67"/>
      <c r="AN90" s="67">
        <v>579962</v>
      </c>
      <c r="AO90" s="67"/>
      <c r="AP90" s="65"/>
      <c r="AQ90" s="66"/>
      <c r="AR90" s="118"/>
    </row>
    <row r="91" spans="1:44" x14ac:dyDescent="0.25">
      <c r="A91" s="16" t="s">
        <v>457</v>
      </c>
      <c r="B91" s="11" t="s">
        <v>577</v>
      </c>
      <c r="C91" s="126" t="s">
        <v>458</v>
      </c>
      <c r="D91" s="67" t="s">
        <v>586</v>
      </c>
      <c r="E91" s="67" t="s">
        <v>586</v>
      </c>
      <c r="F91" s="67" t="s">
        <v>586</v>
      </c>
      <c r="G91" s="67">
        <v>0</v>
      </c>
      <c r="H91" s="67">
        <v>2</v>
      </c>
      <c r="I91" s="140">
        <v>0.50572311928396541</v>
      </c>
      <c r="J91" s="140">
        <v>0.3790734</v>
      </c>
      <c r="K91" s="65">
        <v>0.41004598182594243</v>
      </c>
      <c r="L91" s="65">
        <v>0.50800000000000001</v>
      </c>
      <c r="M91" s="65">
        <v>0.17180899999999999</v>
      </c>
      <c r="N91" s="65"/>
      <c r="O91"/>
      <c r="P91" s="67"/>
      <c r="Q91" s="67"/>
      <c r="R91" s="67"/>
      <c r="S91" s="65"/>
      <c r="T91" s="65"/>
      <c r="U91" s="65"/>
      <c r="V91" s="65"/>
      <c r="W91" s="118"/>
      <c r="X91" s="65"/>
      <c r="Y91" s="65"/>
      <c r="Z91" s="65"/>
      <c r="AA91" s="67">
        <v>14788</v>
      </c>
      <c r="AB91" s="65"/>
      <c r="AC91" s="65"/>
      <c r="AD91" s="65"/>
      <c r="AE91" s="65">
        <v>3.9000000000000057</v>
      </c>
      <c r="AF91" s="65">
        <v>70.2</v>
      </c>
      <c r="AG91" s="65">
        <v>39.799999999999997</v>
      </c>
      <c r="AH91" s="65"/>
      <c r="AI91" s="67"/>
      <c r="AJ91" s="67"/>
      <c r="AK91" s="67"/>
      <c r="AL91" s="65"/>
      <c r="AM91" s="67"/>
      <c r="AN91" s="67">
        <v>3014571</v>
      </c>
      <c r="AO91" s="67"/>
      <c r="AP91" s="65"/>
      <c r="AQ91" s="66"/>
      <c r="AR91" s="118"/>
    </row>
    <row r="92" spans="1:44" x14ac:dyDescent="0.25">
      <c r="A92" s="16" t="s">
        <v>459</v>
      </c>
      <c r="B92" s="11" t="s">
        <v>577</v>
      </c>
      <c r="C92" s="126" t="s">
        <v>460</v>
      </c>
      <c r="D92" s="67" t="s">
        <v>586</v>
      </c>
      <c r="E92" s="67" t="s">
        <v>586</v>
      </c>
      <c r="F92" s="67" t="s">
        <v>586</v>
      </c>
      <c r="G92" s="67">
        <v>3</v>
      </c>
      <c r="H92" s="67">
        <v>21</v>
      </c>
      <c r="I92" s="140">
        <v>0.50572311928396541</v>
      </c>
      <c r="J92" s="140">
        <v>0.35621350000000002</v>
      </c>
      <c r="K92" s="65">
        <v>0.41004598182594243</v>
      </c>
      <c r="L92" s="65">
        <v>0.50800000000000001</v>
      </c>
      <c r="M92" s="65">
        <v>0.1555899</v>
      </c>
      <c r="N92" s="65"/>
      <c r="O92"/>
      <c r="P92" s="67"/>
      <c r="Q92" s="67"/>
      <c r="R92" s="67"/>
      <c r="S92" s="65"/>
      <c r="T92" s="65"/>
      <c r="U92" s="65"/>
      <c r="V92" s="65"/>
      <c r="W92" s="118"/>
      <c r="X92" s="65"/>
      <c r="Y92" s="65"/>
      <c r="Z92" s="65"/>
      <c r="AA92" s="67">
        <v>14828</v>
      </c>
      <c r="AB92" s="65"/>
      <c r="AC92" s="65"/>
      <c r="AD92" s="65"/>
      <c r="AE92" s="65">
        <v>4.4000000000000057</v>
      </c>
      <c r="AF92" s="65">
        <v>64.5</v>
      </c>
      <c r="AG92" s="65">
        <v>45.2</v>
      </c>
      <c r="AH92" s="65"/>
      <c r="AI92" s="67"/>
      <c r="AJ92" s="67"/>
      <c r="AK92" s="67"/>
      <c r="AL92" s="65"/>
      <c r="AM92" s="67"/>
      <c r="AN92" s="67">
        <v>2295353</v>
      </c>
      <c r="AO92" s="67"/>
      <c r="AP92" s="65"/>
      <c r="AQ92" s="66"/>
      <c r="AR92" s="118"/>
    </row>
    <row r="93" spans="1:44" x14ac:dyDescent="0.25">
      <c r="A93" s="16" t="s">
        <v>461</v>
      </c>
      <c r="B93" s="11" t="s">
        <v>577</v>
      </c>
      <c r="C93" s="126" t="s">
        <v>462</v>
      </c>
      <c r="D93" s="67" t="s">
        <v>586</v>
      </c>
      <c r="E93" s="67" t="s">
        <v>586</v>
      </c>
      <c r="F93" s="67" t="s">
        <v>586</v>
      </c>
      <c r="G93" s="67">
        <v>0</v>
      </c>
      <c r="H93" s="67">
        <v>15</v>
      </c>
      <c r="I93" s="140">
        <v>0.50572311928396541</v>
      </c>
      <c r="J93" s="140">
        <v>0.37268069999999998</v>
      </c>
      <c r="K93" s="65">
        <v>0.41004598182594243</v>
      </c>
      <c r="L93" s="65">
        <v>0.50800000000000001</v>
      </c>
      <c r="M93" s="65">
        <v>0.18462439999999999</v>
      </c>
      <c r="N93" s="65"/>
      <c r="O93"/>
      <c r="P93" s="67"/>
      <c r="Q93" s="67"/>
      <c r="R93" s="67"/>
      <c r="S93" s="65"/>
      <c r="T93" s="65"/>
      <c r="U93" s="65"/>
      <c r="V93" s="65"/>
      <c r="W93" s="118"/>
      <c r="X93" s="65"/>
      <c r="Y93" s="65"/>
      <c r="Z93" s="65"/>
      <c r="AA93" s="67">
        <v>17033</v>
      </c>
      <c r="AB93" s="65"/>
      <c r="AC93" s="65"/>
      <c r="AD93" s="65"/>
      <c r="AE93" s="65">
        <v>7.7999999999999972</v>
      </c>
      <c r="AF93" s="65">
        <v>60.9</v>
      </c>
      <c r="AG93" s="65">
        <v>57.4</v>
      </c>
      <c r="AH93" s="65"/>
      <c r="AI93" s="67"/>
      <c r="AJ93" s="67"/>
      <c r="AK93" s="67"/>
      <c r="AL93" s="65"/>
      <c r="AM93" s="67"/>
      <c r="AN93" s="67">
        <v>2689684</v>
      </c>
      <c r="AO93" s="67"/>
      <c r="AP93" s="65"/>
      <c r="AQ93" s="66"/>
      <c r="AR93" s="118"/>
    </row>
    <row r="94" spans="1:44" x14ac:dyDescent="0.25">
      <c r="A94" s="16" t="s">
        <v>463</v>
      </c>
      <c r="B94" s="11" t="s">
        <v>577</v>
      </c>
      <c r="C94" s="126" t="s">
        <v>464</v>
      </c>
      <c r="D94" s="67" t="s">
        <v>586</v>
      </c>
      <c r="E94" s="67" t="s">
        <v>586</v>
      </c>
      <c r="F94" s="67" t="s">
        <v>586</v>
      </c>
      <c r="G94" s="67">
        <v>0</v>
      </c>
      <c r="H94" s="67">
        <v>2</v>
      </c>
      <c r="I94" s="140">
        <v>0.50572311928396541</v>
      </c>
      <c r="J94" s="140">
        <v>0.3739884</v>
      </c>
      <c r="K94" s="65">
        <v>0.41004598182594199</v>
      </c>
      <c r="L94" s="65">
        <v>0.50800000000000001</v>
      </c>
      <c r="M94" s="65">
        <v>0.1837143</v>
      </c>
      <c r="N94" s="65"/>
      <c r="O94"/>
      <c r="P94" s="67"/>
      <c r="Q94" s="67"/>
      <c r="R94" s="67"/>
      <c r="S94" s="65"/>
      <c r="T94" s="65"/>
      <c r="U94" s="65"/>
      <c r="V94" s="65"/>
      <c r="W94" s="118"/>
      <c r="X94" s="65"/>
      <c r="Y94" s="65"/>
      <c r="Z94" s="65"/>
      <c r="AA94" s="67">
        <v>25496</v>
      </c>
      <c r="AB94" s="65"/>
      <c r="AC94" s="65"/>
      <c r="AD94" s="65"/>
      <c r="AE94" s="65">
        <v>2.5</v>
      </c>
      <c r="AF94" s="65">
        <v>58.7</v>
      </c>
      <c r="AG94" s="65">
        <v>47.9</v>
      </c>
      <c r="AH94" s="65"/>
      <c r="AI94" s="67"/>
      <c r="AJ94" s="67"/>
      <c r="AK94" s="67"/>
      <c r="AL94" s="65"/>
      <c r="AM94" s="67"/>
      <c r="AN94" s="67">
        <v>2966505</v>
      </c>
      <c r="AO94" s="67"/>
      <c r="AP94" s="65"/>
      <c r="AQ94" s="66"/>
      <c r="AR94" s="118"/>
    </row>
    <row r="95" spans="1:44" x14ac:dyDescent="0.25">
      <c r="A95" s="16" t="s">
        <v>465</v>
      </c>
      <c r="B95" s="11" t="s">
        <v>577</v>
      </c>
      <c r="C95" s="126" t="s">
        <v>466</v>
      </c>
      <c r="D95" s="67" t="s">
        <v>586</v>
      </c>
      <c r="E95" s="67" t="s">
        <v>586</v>
      </c>
      <c r="F95" s="67" t="s">
        <v>586</v>
      </c>
      <c r="G95" s="67">
        <v>0</v>
      </c>
      <c r="H95" s="67">
        <v>6</v>
      </c>
      <c r="I95" s="140">
        <v>0.50572311928396541</v>
      </c>
      <c r="J95" s="140">
        <v>0.1562702</v>
      </c>
      <c r="K95" s="65">
        <v>0.41004598182594199</v>
      </c>
      <c r="L95" s="65">
        <v>0.50800000000000001</v>
      </c>
      <c r="M95" s="65">
        <v>0.1208424</v>
      </c>
      <c r="N95" s="65"/>
      <c r="O95"/>
      <c r="P95" s="67"/>
      <c r="Q95" s="67"/>
      <c r="R95" s="67"/>
      <c r="S95" s="65"/>
      <c r="T95" s="65"/>
      <c r="U95" s="65"/>
      <c r="V95" s="65"/>
      <c r="W95" s="118"/>
      <c r="X95" s="65"/>
      <c r="Y95" s="65"/>
      <c r="Z95" s="65"/>
      <c r="AA95" s="67">
        <v>2192</v>
      </c>
      <c r="AB95" s="65"/>
      <c r="AC95" s="65"/>
      <c r="AD95" s="65"/>
      <c r="AE95" s="65">
        <v>60.1</v>
      </c>
      <c r="AF95" s="65">
        <v>55.2</v>
      </c>
      <c r="AG95" s="65">
        <v>81.2</v>
      </c>
      <c r="AH95" s="65"/>
      <c r="AI95" s="67"/>
      <c r="AJ95" s="67"/>
      <c r="AK95" s="67"/>
      <c r="AL95" s="65"/>
      <c r="AM95" s="67"/>
      <c r="AN95" s="67">
        <v>1040242</v>
      </c>
      <c r="AO95" s="67"/>
      <c r="AP95" s="65"/>
      <c r="AQ95" s="66"/>
      <c r="AR95" s="118"/>
    </row>
    <row r="96" spans="1:44" x14ac:dyDescent="0.25">
      <c r="A96" s="16" t="s">
        <v>468</v>
      </c>
      <c r="B96" s="11" t="s">
        <v>578</v>
      </c>
      <c r="C96" s="126" t="s">
        <v>469</v>
      </c>
      <c r="D96" s="67">
        <v>50408</v>
      </c>
      <c r="E96" s="67">
        <v>185664</v>
      </c>
      <c r="F96" s="67">
        <v>0</v>
      </c>
      <c r="G96" s="67">
        <v>0</v>
      </c>
      <c r="H96" s="67">
        <v>6</v>
      </c>
      <c r="I96" s="140">
        <v>0.28499999999999998</v>
      </c>
      <c r="J96" s="140">
        <v>0.38800000000000001</v>
      </c>
      <c r="K96" s="65">
        <v>0.77300000000000002</v>
      </c>
      <c r="L96" s="65" t="s">
        <v>586</v>
      </c>
      <c r="M96" s="65" t="s">
        <v>586</v>
      </c>
      <c r="N96" s="65"/>
      <c r="O96"/>
      <c r="P96" s="67"/>
      <c r="Q96" s="67"/>
      <c r="R96" s="67"/>
      <c r="S96" s="65"/>
      <c r="T96" s="65"/>
      <c r="U96" s="65"/>
      <c r="V96" s="65">
        <v>0</v>
      </c>
      <c r="W96" s="118"/>
      <c r="X96" s="65"/>
      <c r="Y96" s="65"/>
      <c r="Z96" s="65">
        <v>7990</v>
      </c>
      <c r="AA96" s="67"/>
      <c r="AB96" s="65"/>
      <c r="AC96" s="65"/>
      <c r="AD96" s="65"/>
      <c r="AE96" s="65">
        <v>30.799999999999997</v>
      </c>
      <c r="AF96" s="65">
        <v>42.3</v>
      </c>
      <c r="AG96" s="65">
        <v>41.6</v>
      </c>
      <c r="AH96" s="65"/>
      <c r="AI96" s="67"/>
      <c r="AJ96" s="67"/>
      <c r="AK96" s="67"/>
      <c r="AL96" s="65"/>
      <c r="AM96" s="67"/>
      <c r="AN96" s="67">
        <v>443058</v>
      </c>
      <c r="AO96" s="67"/>
      <c r="AP96" s="65"/>
      <c r="AQ96" s="66"/>
      <c r="AR96" s="118"/>
    </row>
    <row r="97" spans="1:44" x14ac:dyDescent="0.25">
      <c r="A97" s="16" t="s">
        <v>470</v>
      </c>
      <c r="B97" s="11" t="s">
        <v>578</v>
      </c>
      <c r="C97" s="126" t="s">
        <v>471</v>
      </c>
      <c r="D97" s="67">
        <v>55023</v>
      </c>
      <c r="E97" s="67">
        <v>286827</v>
      </c>
      <c r="F97" s="67">
        <v>0</v>
      </c>
      <c r="G97" s="67">
        <v>3</v>
      </c>
      <c r="H97" s="67">
        <v>808</v>
      </c>
      <c r="I97" s="140">
        <v>0.28499999999999998</v>
      </c>
      <c r="J97" s="140">
        <v>0.53900000000000003</v>
      </c>
      <c r="K97" s="65">
        <v>0.77300000000000002</v>
      </c>
      <c r="L97" s="65" t="s">
        <v>586</v>
      </c>
      <c r="M97" s="65" t="s">
        <v>586</v>
      </c>
      <c r="N97" s="65"/>
      <c r="O97"/>
      <c r="P97" s="67"/>
      <c r="Q97" s="67"/>
      <c r="R97" s="67"/>
      <c r="S97" s="65"/>
      <c r="T97" s="65"/>
      <c r="U97" s="65"/>
      <c r="V97" s="65">
        <v>7.958689199586642</v>
      </c>
      <c r="W97" s="118"/>
      <c r="X97" s="65"/>
      <c r="Y97" s="65"/>
      <c r="Z97" s="65">
        <v>24000</v>
      </c>
      <c r="AA97" s="67"/>
      <c r="AB97" s="65"/>
      <c r="AC97" s="65"/>
      <c r="AD97" s="65"/>
      <c r="AE97" s="65">
        <v>12.599999999999994</v>
      </c>
      <c r="AF97" s="65">
        <v>34</v>
      </c>
      <c r="AG97" s="65">
        <v>24</v>
      </c>
      <c r="AH97" s="65"/>
      <c r="AI97" s="67"/>
      <c r="AJ97" s="67"/>
      <c r="AK97" s="67"/>
      <c r="AL97" s="65"/>
      <c r="AM97" s="67"/>
      <c r="AN97" s="67">
        <v>305629</v>
      </c>
      <c r="AO97" s="67"/>
      <c r="AP97" s="65"/>
      <c r="AQ97" s="66"/>
      <c r="AR97" s="118"/>
    </row>
    <row r="98" spans="1:44" x14ac:dyDescent="0.25">
      <c r="A98" s="16" t="s">
        <v>472</v>
      </c>
      <c r="B98" s="11" t="s">
        <v>578</v>
      </c>
      <c r="C98" s="126" t="s">
        <v>473</v>
      </c>
      <c r="D98" s="67">
        <v>413334</v>
      </c>
      <c r="E98" s="67">
        <v>320159</v>
      </c>
      <c r="F98" s="67">
        <v>0</v>
      </c>
      <c r="G98" s="67">
        <v>4</v>
      </c>
      <c r="H98" s="67">
        <v>1738</v>
      </c>
      <c r="I98" s="140">
        <v>0.28499999999999998</v>
      </c>
      <c r="J98" s="140">
        <v>0.30299999999999999</v>
      </c>
      <c r="K98" s="65">
        <v>0.77300000000000002</v>
      </c>
      <c r="L98" s="65" t="s">
        <v>586</v>
      </c>
      <c r="M98" s="65" t="s">
        <v>586</v>
      </c>
      <c r="N98" s="65"/>
      <c r="O98"/>
      <c r="P98" s="67"/>
      <c r="Q98" s="67"/>
      <c r="R98" s="67"/>
      <c r="S98" s="65"/>
      <c r="T98" s="65"/>
      <c r="U98" s="65"/>
      <c r="V98" s="65">
        <v>42.296235668647554</v>
      </c>
      <c r="W98" s="118"/>
      <c r="X98" s="65"/>
      <c r="Y98" s="65"/>
      <c r="Z98" s="65">
        <v>369000</v>
      </c>
      <c r="AA98" s="67"/>
      <c r="AB98" s="65"/>
      <c r="AC98" s="65"/>
      <c r="AD98" s="65"/>
      <c r="AE98" s="65">
        <v>45</v>
      </c>
      <c r="AF98" s="65">
        <v>76.8</v>
      </c>
      <c r="AG98" s="65">
        <v>55.2</v>
      </c>
      <c r="AH98" s="65"/>
      <c r="AI98" s="67"/>
      <c r="AJ98" s="67"/>
      <c r="AK98" s="67"/>
      <c r="AL98" s="65"/>
      <c r="AM98" s="67"/>
      <c r="AN98" s="67">
        <v>982888</v>
      </c>
      <c r="AO98" s="67"/>
      <c r="AP98" s="65"/>
      <c r="AQ98" s="66"/>
      <c r="AR98" s="118"/>
    </row>
    <row r="99" spans="1:44" x14ac:dyDescent="0.25">
      <c r="A99" s="16" t="s">
        <v>474</v>
      </c>
      <c r="B99" s="11" t="s">
        <v>578</v>
      </c>
      <c r="C99" s="126" t="s">
        <v>475</v>
      </c>
      <c r="D99" s="67">
        <v>0</v>
      </c>
      <c r="E99" s="67">
        <v>108437</v>
      </c>
      <c r="F99" s="67">
        <v>0</v>
      </c>
      <c r="G99" s="67">
        <v>3</v>
      </c>
      <c r="H99" s="67">
        <v>258</v>
      </c>
      <c r="I99" s="140">
        <v>0.28499999999999998</v>
      </c>
      <c r="J99" s="140">
        <v>0.40100000000000002</v>
      </c>
      <c r="K99" s="65">
        <v>0.77300000000000002</v>
      </c>
      <c r="L99" s="65" t="s">
        <v>586</v>
      </c>
      <c r="M99" s="65" t="s">
        <v>586</v>
      </c>
      <c r="N99" s="65"/>
      <c r="O99"/>
      <c r="P99" s="67"/>
      <c r="Q99" s="67"/>
      <c r="R99" s="67"/>
      <c r="S99" s="65"/>
      <c r="T99" s="65"/>
      <c r="U99" s="65"/>
      <c r="V99" s="65">
        <v>15.984948495633667</v>
      </c>
      <c r="W99" s="118"/>
      <c r="X99" s="65"/>
      <c r="Y99" s="65"/>
      <c r="Z99" s="65">
        <v>49010</v>
      </c>
      <c r="AA99" s="67"/>
      <c r="AB99" s="65"/>
      <c r="AC99" s="65"/>
      <c r="AD99" s="65"/>
      <c r="AE99" s="65">
        <v>22.5</v>
      </c>
      <c r="AF99" s="65">
        <v>47.4</v>
      </c>
      <c r="AG99" s="65">
        <v>35.200000000000003</v>
      </c>
      <c r="AH99" s="65"/>
      <c r="AI99" s="67"/>
      <c r="AJ99" s="67"/>
      <c r="AK99" s="67"/>
      <c r="AL99" s="65"/>
      <c r="AM99" s="67"/>
      <c r="AN99" s="67">
        <v>483383</v>
      </c>
      <c r="AO99" s="67"/>
      <c r="AP99" s="65"/>
      <c r="AQ99" s="66"/>
      <c r="AR99" s="118"/>
    </row>
    <row r="100" spans="1:44" x14ac:dyDescent="0.25">
      <c r="A100" s="16" t="s">
        <v>476</v>
      </c>
      <c r="B100" s="11" t="s">
        <v>578</v>
      </c>
      <c r="C100" s="126" t="s">
        <v>477</v>
      </c>
      <c r="D100" s="67">
        <v>59668</v>
      </c>
      <c r="E100" s="67">
        <v>847218</v>
      </c>
      <c r="F100" s="67">
        <v>0</v>
      </c>
      <c r="G100" s="67">
        <v>3</v>
      </c>
      <c r="H100" s="67">
        <v>1080</v>
      </c>
      <c r="I100" s="140">
        <v>0.28499999999999998</v>
      </c>
      <c r="J100" s="140">
        <v>0.53900000000000003</v>
      </c>
      <c r="K100" s="65">
        <v>0.77300000000000002</v>
      </c>
      <c r="L100" s="65" t="s">
        <v>586</v>
      </c>
      <c r="M100" s="65" t="s">
        <v>586</v>
      </c>
      <c r="N100" s="65"/>
      <c r="O100"/>
      <c r="P100" s="67"/>
      <c r="Q100" s="67"/>
      <c r="R100" s="67"/>
      <c r="S100" s="65"/>
      <c r="T100" s="65"/>
      <c r="U100" s="65"/>
      <c r="V100" s="65">
        <v>2.4371403569907213</v>
      </c>
      <c r="W100" s="118"/>
      <c r="X100" s="65"/>
      <c r="Y100" s="65"/>
      <c r="Z100" s="65">
        <v>39820</v>
      </c>
      <c r="AA100" s="67"/>
      <c r="AB100" s="65"/>
      <c r="AC100" s="65"/>
      <c r="AD100" s="65"/>
      <c r="AE100" s="65">
        <v>12.599999999999994</v>
      </c>
      <c r="AF100" s="65">
        <v>34</v>
      </c>
      <c r="AG100" s="65">
        <v>24</v>
      </c>
      <c r="AH100" s="65"/>
      <c r="AI100" s="67"/>
      <c r="AJ100" s="67"/>
      <c r="AK100" s="67"/>
      <c r="AL100" s="65"/>
      <c r="AM100" s="67"/>
      <c r="AN100" s="67">
        <v>860784</v>
      </c>
      <c r="AO100" s="67"/>
      <c r="AP100" s="65"/>
      <c r="AQ100" s="66"/>
      <c r="AR100" s="118"/>
    </row>
    <row r="101" spans="1:44" x14ac:dyDescent="0.25">
      <c r="A101" s="16" t="s">
        <v>478</v>
      </c>
      <c r="B101" s="11" t="s">
        <v>578</v>
      </c>
      <c r="C101" s="126" t="s">
        <v>479</v>
      </c>
      <c r="D101" s="67">
        <v>1795</v>
      </c>
      <c r="E101" s="67">
        <v>377853</v>
      </c>
      <c r="F101" s="67">
        <v>0</v>
      </c>
      <c r="G101" s="67">
        <v>3</v>
      </c>
      <c r="H101" s="67">
        <v>377</v>
      </c>
      <c r="I101" s="140">
        <v>0.28499999999999998</v>
      </c>
      <c r="J101" s="140">
        <v>0.40100000000000002</v>
      </c>
      <c r="K101" s="65">
        <v>0.77300000000000002</v>
      </c>
      <c r="L101" s="65" t="s">
        <v>586</v>
      </c>
      <c r="M101" s="65" t="s">
        <v>586</v>
      </c>
      <c r="N101" s="65"/>
      <c r="O101"/>
      <c r="P101" s="67"/>
      <c r="Q101" s="67"/>
      <c r="R101" s="67"/>
      <c r="S101" s="65"/>
      <c r="T101" s="65"/>
      <c r="U101" s="65"/>
      <c r="V101" s="65">
        <v>3.482850055204239</v>
      </c>
      <c r="W101" s="118"/>
      <c r="X101" s="65"/>
      <c r="Y101" s="65"/>
      <c r="Z101" s="65">
        <v>119768</v>
      </c>
      <c r="AA101" s="67"/>
      <c r="AB101" s="65"/>
      <c r="AC101" s="65"/>
      <c r="AD101" s="65"/>
      <c r="AE101" s="65">
        <v>22.5</v>
      </c>
      <c r="AF101" s="65">
        <v>47.4</v>
      </c>
      <c r="AG101" s="65">
        <v>35.200000000000003</v>
      </c>
      <c r="AH101" s="65"/>
      <c r="AI101" s="67"/>
      <c r="AJ101" s="67"/>
      <c r="AK101" s="67"/>
      <c r="AL101" s="65"/>
      <c r="AM101" s="67"/>
      <c r="AN101" s="67">
        <v>463522</v>
      </c>
      <c r="AO101" s="67"/>
      <c r="AP101" s="65"/>
      <c r="AQ101" s="66"/>
      <c r="AR101" s="118"/>
    </row>
    <row r="102" spans="1:44" x14ac:dyDescent="0.25">
      <c r="A102" s="16" t="s">
        <v>480</v>
      </c>
      <c r="B102" s="11" t="s">
        <v>578</v>
      </c>
      <c r="C102" s="126" t="s">
        <v>481</v>
      </c>
      <c r="D102" s="67">
        <v>75068</v>
      </c>
      <c r="E102" s="67">
        <v>364909</v>
      </c>
      <c r="F102" s="67">
        <v>0</v>
      </c>
      <c r="G102" s="67">
        <v>4</v>
      </c>
      <c r="H102" s="67">
        <v>943</v>
      </c>
      <c r="I102" s="140">
        <v>0.28499999999999998</v>
      </c>
      <c r="J102" s="140">
        <v>0.53900000000000003</v>
      </c>
      <c r="K102" s="65">
        <v>0.77300000000000002</v>
      </c>
      <c r="L102" s="65" t="s">
        <v>586</v>
      </c>
      <c r="M102" s="65" t="s">
        <v>586</v>
      </c>
      <c r="N102" s="65"/>
      <c r="O102"/>
      <c r="P102" s="67"/>
      <c r="Q102" s="67"/>
      <c r="R102" s="67"/>
      <c r="S102" s="65"/>
      <c r="T102" s="65"/>
      <c r="U102" s="65"/>
      <c r="V102" s="65">
        <v>2.6637906394082469</v>
      </c>
      <c r="W102" s="118"/>
      <c r="X102" s="65"/>
      <c r="Y102" s="65"/>
      <c r="Z102" s="65">
        <v>76728</v>
      </c>
      <c r="AA102" s="67"/>
      <c r="AB102" s="65"/>
      <c r="AC102" s="65"/>
      <c r="AD102" s="65"/>
      <c r="AE102" s="65">
        <v>12.599999999999994</v>
      </c>
      <c r="AF102" s="65">
        <v>34</v>
      </c>
      <c r="AG102" s="65">
        <v>24</v>
      </c>
      <c r="AH102" s="65"/>
      <c r="AI102" s="67"/>
      <c r="AJ102" s="67"/>
      <c r="AK102" s="67"/>
      <c r="AL102" s="65"/>
      <c r="AM102" s="67"/>
      <c r="AN102" s="67">
        <v>395699</v>
      </c>
      <c r="AO102" s="67"/>
      <c r="AP102" s="65"/>
      <c r="AQ102" s="66"/>
      <c r="AR102" s="118"/>
    </row>
    <row r="103" spans="1:44" x14ac:dyDescent="0.25">
      <c r="A103" s="16" t="s">
        <v>482</v>
      </c>
      <c r="B103" s="11" t="s">
        <v>578</v>
      </c>
      <c r="C103" s="126" t="s">
        <v>483</v>
      </c>
      <c r="D103" s="67">
        <v>178724</v>
      </c>
      <c r="E103" s="67">
        <v>325490</v>
      </c>
      <c r="F103" s="67">
        <v>0</v>
      </c>
      <c r="G103" s="67">
        <v>3</v>
      </c>
      <c r="H103" s="67">
        <v>696</v>
      </c>
      <c r="I103" s="140">
        <v>0.28499999999999998</v>
      </c>
      <c r="J103" s="140">
        <v>0.53900000000000003</v>
      </c>
      <c r="K103" s="65">
        <v>0.77300000000000002</v>
      </c>
      <c r="L103" s="65" t="s">
        <v>586</v>
      </c>
      <c r="M103" s="65" t="s">
        <v>586</v>
      </c>
      <c r="N103" s="65"/>
      <c r="O103"/>
      <c r="P103" s="67"/>
      <c r="Q103" s="67"/>
      <c r="R103" s="67"/>
      <c r="S103" s="65"/>
      <c r="T103" s="65"/>
      <c r="U103" s="65"/>
      <c r="V103" s="65">
        <v>7.7572890090839897</v>
      </c>
      <c r="W103" s="118"/>
      <c r="X103" s="65"/>
      <c r="Y103" s="65"/>
      <c r="Z103" s="65">
        <v>51160</v>
      </c>
      <c r="AA103" s="67"/>
      <c r="AB103" s="65"/>
      <c r="AC103" s="65"/>
      <c r="AD103" s="65"/>
      <c r="AE103" s="65">
        <v>12.599999999999994</v>
      </c>
      <c r="AF103" s="65">
        <v>34</v>
      </c>
      <c r="AG103" s="65">
        <v>24</v>
      </c>
      <c r="AH103" s="65"/>
      <c r="AI103" s="67"/>
      <c r="AJ103" s="67"/>
      <c r="AK103" s="67"/>
      <c r="AL103" s="65"/>
      <c r="AM103" s="67"/>
      <c r="AN103" s="67">
        <v>417480</v>
      </c>
      <c r="AO103" s="67"/>
      <c r="AP103" s="65"/>
      <c r="AQ103" s="66"/>
      <c r="AR103" s="118"/>
    </row>
    <row r="104" spans="1:44" x14ac:dyDescent="0.25">
      <c r="A104" s="16" t="s">
        <v>484</v>
      </c>
      <c r="B104" s="11" t="s">
        <v>578</v>
      </c>
      <c r="C104" s="126" t="s">
        <v>485</v>
      </c>
      <c r="D104" s="67">
        <v>316958</v>
      </c>
      <c r="E104" s="67">
        <v>524524</v>
      </c>
      <c r="F104" s="67">
        <v>0</v>
      </c>
      <c r="G104" s="67">
        <v>3</v>
      </c>
      <c r="H104" s="67">
        <v>2189</v>
      </c>
      <c r="I104" s="140">
        <v>0.28499999999999998</v>
      </c>
      <c r="J104" s="140">
        <v>0.53900000000000003</v>
      </c>
      <c r="K104" s="65">
        <v>0.77300000000000002</v>
      </c>
      <c r="L104" s="65" t="s">
        <v>586</v>
      </c>
      <c r="M104" s="65" t="s">
        <v>586</v>
      </c>
      <c r="N104" s="65"/>
      <c r="O104"/>
      <c r="P104" s="67"/>
      <c r="Q104" s="67"/>
      <c r="R104" s="67"/>
      <c r="S104" s="65"/>
      <c r="T104" s="65"/>
      <c r="U104" s="65"/>
      <c r="V104" s="65">
        <v>11.830814795366575</v>
      </c>
      <c r="W104" s="118"/>
      <c r="X104" s="65"/>
      <c r="Y104" s="65"/>
      <c r="Z104" s="65">
        <v>30600</v>
      </c>
      <c r="AA104" s="67"/>
      <c r="AB104" s="65"/>
      <c r="AC104" s="65"/>
      <c r="AD104" s="65"/>
      <c r="AE104" s="65">
        <v>12.599999999999994</v>
      </c>
      <c r="AF104" s="65">
        <v>34</v>
      </c>
      <c r="AG104" s="65">
        <v>24</v>
      </c>
      <c r="AH104" s="65"/>
      <c r="AI104" s="67"/>
      <c r="AJ104" s="67"/>
      <c r="AK104" s="67"/>
      <c r="AL104" s="65"/>
      <c r="AM104" s="67"/>
      <c r="AN104" s="67">
        <v>544306</v>
      </c>
      <c r="AO104" s="67"/>
      <c r="AP104" s="65"/>
      <c r="AQ104" s="66"/>
      <c r="AR104" s="118"/>
    </row>
    <row r="105" spans="1:44" x14ac:dyDescent="0.25">
      <c r="A105" s="16" t="s">
        <v>486</v>
      </c>
      <c r="B105" s="11" t="s">
        <v>578</v>
      </c>
      <c r="C105" s="126" t="s">
        <v>487</v>
      </c>
      <c r="D105" s="67">
        <v>513053</v>
      </c>
      <c r="E105" s="67">
        <v>1049111</v>
      </c>
      <c r="F105" s="67">
        <v>0</v>
      </c>
      <c r="G105" s="67">
        <v>3</v>
      </c>
      <c r="H105" s="67">
        <v>1620</v>
      </c>
      <c r="I105" s="140">
        <v>0.28499999999999998</v>
      </c>
      <c r="J105" s="140">
        <v>0.53900000000000003</v>
      </c>
      <c r="K105" s="65">
        <v>0.77300000000000002</v>
      </c>
      <c r="L105" s="65" t="s">
        <v>586</v>
      </c>
      <c r="M105" s="65" t="s">
        <v>586</v>
      </c>
      <c r="N105" s="65"/>
      <c r="O105"/>
      <c r="P105" s="67"/>
      <c r="Q105" s="67"/>
      <c r="R105" s="67"/>
      <c r="S105" s="65"/>
      <c r="T105" s="65"/>
      <c r="U105" s="65"/>
      <c r="V105" s="65">
        <v>1.2383267594465885</v>
      </c>
      <c r="W105" s="118"/>
      <c r="X105" s="65"/>
      <c r="Y105" s="65"/>
      <c r="Z105" s="65">
        <v>161770</v>
      </c>
      <c r="AA105" s="67"/>
      <c r="AB105" s="65"/>
      <c r="AC105" s="65"/>
      <c r="AD105" s="65"/>
      <c r="AE105" s="65">
        <v>12.599999999999994</v>
      </c>
      <c r="AF105" s="65">
        <v>34</v>
      </c>
      <c r="AG105" s="65">
        <v>24</v>
      </c>
      <c r="AH105" s="65"/>
      <c r="AI105" s="67"/>
      <c r="AJ105" s="67"/>
      <c r="AK105" s="67"/>
      <c r="AL105" s="65"/>
      <c r="AM105" s="67"/>
      <c r="AN105" s="67">
        <v>1134552</v>
      </c>
      <c r="AO105" s="67"/>
      <c r="AP105" s="65"/>
      <c r="AQ105" s="66"/>
      <c r="AR105" s="118"/>
    </row>
    <row r="106" spans="1:44" x14ac:dyDescent="0.25">
      <c r="A106" s="16" t="s">
        <v>488</v>
      </c>
      <c r="B106" s="11" t="s">
        <v>578</v>
      </c>
      <c r="C106" s="126" t="s">
        <v>489</v>
      </c>
      <c r="D106" s="67">
        <v>168426</v>
      </c>
      <c r="E106" s="67">
        <v>349090</v>
      </c>
      <c r="F106" s="67">
        <v>0</v>
      </c>
      <c r="G106" s="67">
        <v>5</v>
      </c>
      <c r="H106" s="67">
        <v>148</v>
      </c>
      <c r="I106" s="140">
        <v>0.28499999999999998</v>
      </c>
      <c r="J106" s="140">
        <v>0.53900000000000003</v>
      </c>
      <c r="K106" s="65">
        <v>0.77300000000000002</v>
      </c>
      <c r="L106" s="65" t="s">
        <v>586</v>
      </c>
      <c r="M106" s="65" t="s">
        <v>586</v>
      </c>
      <c r="N106" s="65"/>
      <c r="O106" s="65"/>
      <c r="P106" s="67"/>
      <c r="Q106" s="67"/>
      <c r="R106" s="67"/>
      <c r="S106" s="65"/>
      <c r="T106" s="65"/>
      <c r="U106" s="65"/>
      <c r="V106" s="65">
        <v>12.147939802701808</v>
      </c>
      <c r="W106" s="118"/>
      <c r="X106" s="65"/>
      <c r="Y106" s="65"/>
      <c r="Z106" s="65">
        <v>27000</v>
      </c>
      <c r="AA106" s="67"/>
      <c r="AB106" s="65"/>
      <c r="AC106" s="65"/>
      <c r="AD106" s="65"/>
      <c r="AE106" s="65">
        <v>12.599999999999994</v>
      </c>
      <c r="AF106" s="65">
        <v>34</v>
      </c>
      <c r="AG106" s="65">
        <v>24</v>
      </c>
      <c r="AH106" s="65"/>
      <c r="AI106" s="67"/>
      <c r="AJ106" s="67"/>
      <c r="AK106" s="67"/>
      <c r="AL106" s="65"/>
      <c r="AM106" s="67"/>
      <c r="AN106" s="67">
        <v>361597</v>
      </c>
      <c r="AO106" s="67"/>
      <c r="AP106" s="65"/>
      <c r="AQ106" s="66"/>
      <c r="AR106" s="118"/>
    </row>
    <row r="107" spans="1:44" x14ac:dyDescent="0.25">
      <c r="A107" s="16" t="s">
        <v>490</v>
      </c>
      <c r="B107" s="11" t="s">
        <v>578</v>
      </c>
      <c r="C107" s="126" t="s">
        <v>491</v>
      </c>
      <c r="D107" s="67">
        <v>417757</v>
      </c>
      <c r="E107" s="67">
        <v>688155</v>
      </c>
      <c r="F107" s="67">
        <v>0</v>
      </c>
      <c r="G107" s="67">
        <v>3</v>
      </c>
      <c r="H107" s="67">
        <v>300</v>
      </c>
      <c r="I107" s="140">
        <v>0.28499999999999998</v>
      </c>
      <c r="J107" s="140">
        <v>0.53900000000000003</v>
      </c>
      <c r="K107" s="65">
        <v>0.77300000000000002</v>
      </c>
      <c r="L107" s="65" t="s">
        <v>586</v>
      </c>
      <c r="M107" s="65" t="s">
        <v>586</v>
      </c>
      <c r="N107" s="65"/>
      <c r="O107" s="65"/>
      <c r="P107" s="67"/>
      <c r="Q107" s="67"/>
      <c r="R107" s="67"/>
      <c r="S107" s="65"/>
      <c r="T107" s="65"/>
      <c r="U107" s="65"/>
      <c r="V107" s="65">
        <v>1.911196901637402</v>
      </c>
      <c r="W107" s="118"/>
      <c r="X107" s="65"/>
      <c r="Y107" s="65"/>
      <c r="Z107" s="65">
        <v>51960</v>
      </c>
      <c r="AA107" s="67"/>
      <c r="AB107" s="65"/>
      <c r="AC107" s="65"/>
      <c r="AD107" s="65"/>
      <c r="AE107" s="65">
        <v>12.599999999999994</v>
      </c>
      <c r="AF107" s="65">
        <v>34</v>
      </c>
      <c r="AG107" s="65">
        <v>24</v>
      </c>
      <c r="AH107" s="65"/>
      <c r="AI107" s="67"/>
      <c r="AJ107" s="67"/>
      <c r="AK107" s="67"/>
      <c r="AL107" s="65"/>
      <c r="AM107" s="67"/>
      <c r="AN107" s="67">
        <v>761141</v>
      </c>
      <c r="AO107" s="67"/>
      <c r="AP107" s="65"/>
      <c r="AQ107" s="66"/>
      <c r="AR107" s="118"/>
    </row>
    <row r="108" spans="1:44" x14ac:dyDescent="0.25">
      <c r="A108" s="16" t="s">
        <v>492</v>
      </c>
      <c r="B108" s="11" t="s">
        <v>578</v>
      </c>
      <c r="C108" s="126" t="s">
        <v>493</v>
      </c>
      <c r="D108" s="67">
        <v>0</v>
      </c>
      <c r="E108" s="67">
        <v>266701</v>
      </c>
      <c r="F108" s="67">
        <v>0</v>
      </c>
      <c r="G108" s="67">
        <v>3</v>
      </c>
      <c r="H108" s="67">
        <v>265</v>
      </c>
      <c r="I108" s="140">
        <v>0.28499999999999998</v>
      </c>
      <c r="J108" s="140">
        <v>0.40100000000000002</v>
      </c>
      <c r="K108" s="65">
        <v>0.77300000000000002</v>
      </c>
      <c r="L108" s="65" t="s">
        <v>586</v>
      </c>
      <c r="M108" s="65" t="s">
        <v>586</v>
      </c>
      <c r="N108" s="65"/>
      <c r="O108" s="65"/>
      <c r="P108" s="67"/>
      <c r="Q108" s="67"/>
      <c r="R108" s="67"/>
      <c r="S108" s="65"/>
      <c r="T108" s="65"/>
      <c r="U108" s="65"/>
      <c r="V108" s="65">
        <v>13.307858624980604</v>
      </c>
      <c r="W108" s="118"/>
      <c r="X108" s="65"/>
      <c r="Y108" s="65"/>
      <c r="Z108" s="65">
        <v>70882</v>
      </c>
      <c r="AA108" s="67"/>
      <c r="AB108" s="65"/>
      <c r="AC108" s="65"/>
      <c r="AD108" s="65"/>
      <c r="AE108" s="65">
        <v>22.5</v>
      </c>
      <c r="AF108" s="65">
        <v>47.4</v>
      </c>
      <c r="AG108" s="65">
        <v>35.200000000000003</v>
      </c>
      <c r="AH108" s="65"/>
      <c r="AI108" s="67"/>
      <c r="AJ108" s="67"/>
      <c r="AK108" s="67"/>
      <c r="AL108" s="65"/>
      <c r="AM108" s="67"/>
      <c r="AN108" s="67">
        <v>685000</v>
      </c>
      <c r="AO108" s="67"/>
      <c r="AP108" s="65"/>
      <c r="AQ108" s="66"/>
      <c r="AR108" s="118"/>
    </row>
    <row r="109" spans="1:44" x14ac:dyDescent="0.25">
      <c r="A109" s="16" t="s">
        <v>494</v>
      </c>
      <c r="B109" s="11" t="s">
        <v>578</v>
      </c>
      <c r="C109" s="126" t="s">
        <v>495</v>
      </c>
      <c r="D109" s="67">
        <v>0</v>
      </c>
      <c r="E109" s="67">
        <v>52001</v>
      </c>
      <c r="F109" s="67">
        <v>0</v>
      </c>
      <c r="G109" s="67">
        <v>0</v>
      </c>
      <c r="H109" s="67">
        <v>29</v>
      </c>
      <c r="I109" s="140">
        <v>0.28499999999999998</v>
      </c>
      <c r="J109" s="140">
        <v>0.40100000000000002</v>
      </c>
      <c r="K109" s="65">
        <v>0.77300000000000002</v>
      </c>
      <c r="L109" s="65" t="s">
        <v>586</v>
      </c>
      <c r="M109" s="65" t="s">
        <v>586</v>
      </c>
      <c r="N109" s="65"/>
      <c r="O109" s="65"/>
      <c r="P109" s="67"/>
      <c r="Q109" s="67"/>
      <c r="R109" s="67"/>
      <c r="S109" s="65"/>
      <c r="T109" s="65"/>
      <c r="U109" s="65"/>
      <c r="V109" s="65">
        <v>4.1564550432921878</v>
      </c>
      <c r="W109" s="118"/>
      <c r="X109" s="65"/>
      <c r="Y109" s="65"/>
      <c r="Z109" s="65">
        <v>9495</v>
      </c>
      <c r="AA109" s="67"/>
      <c r="AB109" s="65"/>
      <c r="AC109" s="65"/>
      <c r="AD109" s="65"/>
      <c r="AE109" s="65">
        <v>22.5</v>
      </c>
      <c r="AF109" s="65">
        <v>47.4</v>
      </c>
      <c r="AG109" s="65">
        <v>35.200000000000003</v>
      </c>
      <c r="AH109" s="65"/>
      <c r="AI109" s="67"/>
      <c r="AJ109" s="67"/>
      <c r="AK109" s="67"/>
      <c r="AL109" s="65"/>
      <c r="AM109" s="67"/>
      <c r="AN109" s="67">
        <v>113109</v>
      </c>
      <c r="AO109" s="67"/>
      <c r="AP109" s="65"/>
      <c r="AQ109" s="66"/>
      <c r="AR109" s="118"/>
    </row>
    <row r="110" spans="1:44" x14ac:dyDescent="0.25">
      <c r="A110" s="16" t="s">
        <v>496</v>
      </c>
      <c r="B110" s="11" t="s">
        <v>578</v>
      </c>
      <c r="C110" s="126" t="s">
        <v>497</v>
      </c>
      <c r="D110" s="67">
        <v>0</v>
      </c>
      <c r="E110" s="67">
        <v>273034</v>
      </c>
      <c r="F110" s="67">
        <v>0</v>
      </c>
      <c r="G110" s="67">
        <v>0</v>
      </c>
      <c r="H110" s="67">
        <v>28</v>
      </c>
      <c r="I110" s="140">
        <v>0.28499999999999998</v>
      </c>
      <c r="J110" s="140">
        <v>0.40100000000000002</v>
      </c>
      <c r="K110" s="65">
        <v>0.77300000000000002</v>
      </c>
      <c r="L110" s="65" t="s">
        <v>586</v>
      </c>
      <c r="M110" s="65" t="s">
        <v>586</v>
      </c>
      <c r="N110" s="65"/>
      <c r="O110" s="65"/>
      <c r="P110" s="67"/>
      <c r="Q110" s="67"/>
      <c r="R110" s="67"/>
      <c r="S110" s="65"/>
      <c r="T110" s="65"/>
      <c r="U110" s="65"/>
      <c r="V110" s="65">
        <v>1.1165409979768239</v>
      </c>
      <c r="W110" s="118"/>
      <c r="X110" s="65"/>
      <c r="Y110" s="65"/>
      <c r="Z110" s="65">
        <v>910</v>
      </c>
      <c r="AA110" s="67"/>
      <c r="AB110" s="65"/>
      <c r="AC110" s="65"/>
      <c r="AD110" s="65"/>
      <c r="AE110" s="65">
        <v>22.5</v>
      </c>
      <c r="AF110" s="65">
        <v>47.4</v>
      </c>
      <c r="AG110" s="65">
        <v>35.200000000000003</v>
      </c>
      <c r="AH110" s="65"/>
      <c r="AI110" s="67"/>
      <c r="AJ110" s="67"/>
      <c r="AK110" s="67"/>
      <c r="AL110" s="65"/>
      <c r="AM110" s="67"/>
      <c r="AN110" s="67">
        <v>473622</v>
      </c>
      <c r="AO110" s="67"/>
      <c r="AP110" s="65"/>
      <c r="AQ110" s="66"/>
      <c r="AR110" s="118"/>
    </row>
    <row r="111" spans="1:44" x14ac:dyDescent="0.25">
      <c r="A111" s="16" t="s">
        <v>498</v>
      </c>
      <c r="B111" s="11" t="s">
        <v>578</v>
      </c>
      <c r="C111" s="126" t="s">
        <v>499</v>
      </c>
      <c r="D111" s="67">
        <v>0</v>
      </c>
      <c r="E111" s="67">
        <v>133099</v>
      </c>
      <c r="F111" s="67">
        <v>0</v>
      </c>
      <c r="G111" s="67">
        <v>3</v>
      </c>
      <c r="H111" s="67">
        <v>145</v>
      </c>
      <c r="I111" s="140">
        <v>0.28499999999999998</v>
      </c>
      <c r="J111" s="140">
        <v>0.40100000000000002</v>
      </c>
      <c r="K111" s="65">
        <v>0.77300000000000002</v>
      </c>
      <c r="L111" s="65" t="s">
        <v>586</v>
      </c>
      <c r="M111" s="65" t="s">
        <v>586</v>
      </c>
      <c r="N111" s="65"/>
      <c r="O111" s="65"/>
      <c r="P111" s="67"/>
      <c r="Q111" s="67"/>
      <c r="R111" s="67"/>
      <c r="S111" s="65"/>
      <c r="T111" s="65"/>
      <c r="U111" s="65"/>
      <c r="V111" s="65">
        <v>4.765547622057932</v>
      </c>
      <c r="W111" s="118"/>
      <c r="X111" s="65"/>
      <c r="Y111" s="65"/>
      <c r="Z111" s="65">
        <v>4820</v>
      </c>
      <c r="AA111" s="67"/>
      <c r="AB111" s="65"/>
      <c r="AC111" s="65"/>
      <c r="AD111" s="65"/>
      <c r="AE111" s="65">
        <v>22.5</v>
      </c>
      <c r="AF111" s="65">
        <v>47.4</v>
      </c>
      <c r="AG111" s="65">
        <v>35.200000000000003</v>
      </c>
      <c r="AH111" s="65"/>
      <c r="AI111" s="67"/>
      <c r="AJ111" s="67"/>
      <c r="AK111" s="67"/>
      <c r="AL111" s="65"/>
      <c r="AM111" s="67"/>
      <c r="AN111" s="67">
        <v>196682</v>
      </c>
      <c r="AO111" s="67"/>
      <c r="AP111" s="65"/>
      <c r="AQ111" s="66"/>
      <c r="AR111" s="118"/>
    </row>
    <row r="112" spans="1:44" x14ac:dyDescent="0.25">
      <c r="A112" s="16" t="s">
        <v>500</v>
      </c>
      <c r="B112" s="11" t="s">
        <v>578</v>
      </c>
      <c r="C112" s="126" t="s">
        <v>501</v>
      </c>
      <c r="D112" s="67">
        <v>2447</v>
      </c>
      <c r="E112" s="67">
        <v>249789</v>
      </c>
      <c r="F112" s="67">
        <v>0</v>
      </c>
      <c r="G112" s="67">
        <v>0</v>
      </c>
      <c r="H112" s="67">
        <v>96</v>
      </c>
      <c r="I112" s="140">
        <v>0.28499999999999998</v>
      </c>
      <c r="J112" s="140">
        <v>0.38800000000000001</v>
      </c>
      <c r="K112" s="65">
        <v>0.77300000000000002</v>
      </c>
      <c r="L112" s="65" t="s">
        <v>586</v>
      </c>
      <c r="M112" s="65" t="s">
        <v>586</v>
      </c>
      <c r="N112" s="65"/>
      <c r="O112" s="65"/>
      <c r="P112" s="67"/>
      <c r="Q112" s="67"/>
      <c r="R112" s="67"/>
      <c r="S112" s="65"/>
      <c r="T112" s="65"/>
      <c r="U112" s="65"/>
      <c r="V112" s="65">
        <v>3.8143894503326377</v>
      </c>
      <c r="W112" s="118"/>
      <c r="X112" s="65"/>
      <c r="Y112" s="65"/>
      <c r="Z112" s="65">
        <v>25760</v>
      </c>
      <c r="AA112" s="67"/>
      <c r="AB112" s="65"/>
      <c r="AC112" s="65"/>
      <c r="AD112" s="65"/>
      <c r="AE112" s="65">
        <v>30.799999999999997</v>
      </c>
      <c r="AF112" s="65">
        <v>42.3</v>
      </c>
      <c r="AG112" s="65">
        <v>41.6</v>
      </c>
      <c r="AH112" s="65"/>
      <c r="AI112" s="67"/>
      <c r="AJ112" s="67"/>
      <c r="AK112" s="67"/>
      <c r="AL112" s="65"/>
      <c r="AM112" s="67"/>
      <c r="AN112" s="67">
        <v>596225</v>
      </c>
      <c r="AO112" s="67"/>
      <c r="AP112" s="65"/>
      <c r="AQ112" s="66"/>
      <c r="AR112" s="118"/>
    </row>
    <row r="113" spans="1:44" x14ac:dyDescent="0.25">
      <c r="A113" s="16" t="s">
        <v>502</v>
      </c>
      <c r="B113" s="11" t="s">
        <v>578</v>
      </c>
      <c r="C113" s="126" t="s">
        <v>503</v>
      </c>
      <c r="D113" s="67">
        <v>29615</v>
      </c>
      <c r="E113" s="67">
        <v>78843</v>
      </c>
      <c r="F113" s="67">
        <v>0</v>
      </c>
      <c r="G113" s="67">
        <v>0</v>
      </c>
      <c r="H113" s="67">
        <v>32</v>
      </c>
      <c r="I113" s="140">
        <v>0.28499999999999998</v>
      </c>
      <c r="J113" s="140">
        <v>0.38800000000000001</v>
      </c>
      <c r="K113" s="65">
        <v>0.77300000000000002</v>
      </c>
      <c r="L113" s="65" t="s">
        <v>586</v>
      </c>
      <c r="M113" s="65" t="s">
        <v>586</v>
      </c>
      <c r="N113" s="65"/>
      <c r="O113" s="65"/>
      <c r="P113" s="67"/>
      <c r="Q113" s="67"/>
      <c r="R113" s="67"/>
      <c r="S113" s="65"/>
      <c r="T113" s="65"/>
      <c r="U113" s="65"/>
      <c r="V113" s="65">
        <v>4.7200092476411228</v>
      </c>
      <c r="W113" s="118"/>
      <c r="X113" s="65"/>
      <c r="Y113" s="65"/>
      <c r="Z113" s="65">
        <v>44590</v>
      </c>
      <c r="AA113" s="67"/>
      <c r="AB113" s="65"/>
      <c r="AC113" s="65"/>
      <c r="AD113" s="65"/>
      <c r="AE113" s="65">
        <v>30.799999999999997</v>
      </c>
      <c r="AF113" s="65">
        <v>42.3</v>
      </c>
      <c r="AG113" s="65">
        <v>41.6</v>
      </c>
      <c r="AH113" s="65"/>
      <c r="AI113" s="67"/>
      <c r="AJ113" s="67"/>
      <c r="AK113" s="67"/>
      <c r="AL113" s="65"/>
      <c r="AM113" s="67"/>
      <c r="AN113" s="67">
        <v>868717</v>
      </c>
      <c r="AO113" s="67"/>
      <c r="AP113" s="65"/>
      <c r="AQ113" s="66"/>
      <c r="AR113" s="118"/>
    </row>
    <row r="114" spans="1:44" x14ac:dyDescent="0.25">
      <c r="A114" s="16" t="s">
        <v>505</v>
      </c>
      <c r="B114" s="11" t="s">
        <v>580</v>
      </c>
      <c r="C114" s="126" t="s">
        <v>506</v>
      </c>
      <c r="D114" s="67">
        <v>249405</v>
      </c>
      <c r="E114" s="67">
        <v>0</v>
      </c>
      <c r="F114" s="67">
        <v>470</v>
      </c>
      <c r="G114" s="67">
        <v>5</v>
      </c>
      <c r="H114" s="67">
        <v>1475</v>
      </c>
      <c r="I114" s="140">
        <v>0.375</v>
      </c>
      <c r="J114" s="67" t="s">
        <v>702</v>
      </c>
      <c r="K114" s="67" t="s">
        <v>702</v>
      </c>
      <c r="L114" s="65">
        <v>0.45529999999999998</v>
      </c>
      <c r="M114" s="65" t="s">
        <v>586</v>
      </c>
      <c r="N114" s="65"/>
      <c r="O114" s="65"/>
      <c r="P114" s="67"/>
      <c r="Q114" s="67"/>
      <c r="R114" s="67"/>
      <c r="S114" s="65"/>
      <c r="T114" s="65"/>
      <c r="U114" s="65"/>
      <c r="V114" s="65">
        <v>43.6</v>
      </c>
      <c r="W114" s="118"/>
      <c r="X114" s="65"/>
      <c r="Y114" s="65"/>
      <c r="Z114" s="67">
        <v>264071</v>
      </c>
      <c r="AA114" s="67">
        <v>121003</v>
      </c>
      <c r="AB114" s="65"/>
      <c r="AC114" s="65"/>
      <c r="AD114" s="65"/>
      <c r="AE114" s="65">
        <v>3</v>
      </c>
      <c r="AF114" s="65">
        <v>7.8</v>
      </c>
      <c r="AG114" s="65">
        <v>61.8</v>
      </c>
      <c r="AH114" s="65"/>
      <c r="AI114" s="67"/>
      <c r="AJ114" s="67"/>
      <c r="AK114" s="67"/>
      <c r="AL114" s="65"/>
      <c r="AM114" s="67"/>
      <c r="AN114" s="67">
        <v>1125734</v>
      </c>
      <c r="AO114" s="67"/>
      <c r="AP114" s="65"/>
      <c r="AQ114" s="66"/>
      <c r="AR114" s="118"/>
    </row>
    <row r="115" spans="1:44" x14ac:dyDescent="0.25">
      <c r="A115" s="16" t="s">
        <v>507</v>
      </c>
      <c r="B115" s="11" t="s">
        <v>580</v>
      </c>
      <c r="C115" s="126" t="s">
        <v>508</v>
      </c>
      <c r="D115" s="67">
        <v>482299</v>
      </c>
      <c r="E115" s="67">
        <v>19743</v>
      </c>
      <c r="F115" s="67">
        <v>169782</v>
      </c>
      <c r="G115" s="67">
        <v>5</v>
      </c>
      <c r="H115" s="67">
        <v>2509</v>
      </c>
      <c r="I115" s="140">
        <v>0.375</v>
      </c>
      <c r="J115" s="67" t="s">
        <v>702</v>
      </c>
      <c r="K115" s="67" t="s">
        <v>702</v>
      </c>
      <c r="L115" s="65">
        <v>0.45529999999999998</v>
      </c>
      <c r="M115" s="65" t="s">
        <v>586</v>
      </c>
      <c r="N115" s="65"/>
      <c r="O115" s="65"/>
      <c r="P115" s="67"/>
      <c r="Q115" s="67"/>
      <c r="R115" s="67"/>
      <c r="S115" s="65"/>
      <c r="T115" s="65"/>
      <c r="U115" s="65"/>
      <c r="V115" s="65">
        <v>29.3</v>
      </c>
      <c r="W115" s="118"/>
      <c r="X115" s="65"/>
      <c r="Y115" s="65"/>
      <c r="Z115" s="67">
        <v>604497</v>
      </c>
      <c r="AA115" s="67">
        <v>0</v>
      </c>
      <c r="AB115" s="65"/>
      <c r="AC115" s="65"/>
      <c r="AD115" s="65"/>
      <c r="AE115" s="65">
        <v>3</v>
      </c>
      <c r="AF115" s="65">
        <v>6.2</v>
      </c>
      <c r="AG115" s="65">
        <v>77.8</v>
      </c>
      <c r="AH115" s="65"/>
      <c r="AI115" s="67"/>
      <c r="AJ115" s="67"/>
      <c r="AK115" s="67"/>
      <c r="AL115" s="65"/>
      <c r="AM115" s="67"/>
      <c r="AN115" s="67">
        <v>1857112</v>
      </c>
      <c r="AO115" s="67"/>
      <c r="AP115" s="65"/>
      <c r="AQ115" s="66"/>
      <c r="AR115" s="118"/>
    </row>
    <row r="116" spans="1:44" x14ac:dyDescent="0.25">
      <c r="A116" s="16" t="s">
        <v>509</v>
      </c>
      <c r="B116" s="11" t="s">
        <v>580</v>
      </c>
      <c r="C116" s="126" t="s">
        <v>510</v>
      </c>
      <c r="D116" s="67">
        <v>291062</v>
      </c>
      <c r="E116" s="67">
        <v>10372</v>
      </c>
      <c r="F116" s="67">
        <v>87646</v>
      </c>
      <c r="G116" s="67">
        <v>5</v>
      </c>
      <c r="H116" s="67">
        <v>2326</v>
      </c>
      <c r="I116" s="140">
        <v>0.375</v>
      </c>
      <c r="J116" s="67" t="s">
        <v>702</v>
      </c>
      <c r="K116" s="67" t="s">
        <v>702</v>
      </c>
      <c r="L116" s="65">
        <v>0.45529999999999998</v>
      </c>
      <c r="M116" s="65" t="s">
        <v>586</v>
      </c>
      <c r="N116" s="65"/>
      <c r="O116" s="65"/>
      <c r="P116" s="67"/>
      <c r="Q116" s="67"/>
      <c r="R116" s="67"/>
      <c r="S116" s="65"/>
      <c r="T116" s="65"/>
      <c r="U116" s="65"/>
      <c r="V116" s="65">
        <v>51.9</v>
      </c>
      <c r="W116" s="118"/>
      <c r="X116" s="65"/>
      <c r="Y116" s="65"/>
      <c r="Z116" s="67">
        <v>366448</v>
      </c>
      <c r="AA116" s="67">
        <v>70151</v>
      </c>
      <c r="AB116" s="65"/>
      <c r="AC116" s="65"/>
      <c r="AD116" s="65"/>
      <c r="AE116" s="65">
        <v>3</v>
      </c>
      <c r="AF116" s="65">
        <v>9.8000000000000007</v>
      </c>
      <c r="AG116" s="65">
        <v>62.7</v>
      </c>
      <c r="AH116" s="65"/>
      <c r="AI116" s="67"/>
      <c r="AJ116" s="67"/>
      <c r="AK116" s="67"/>
      <c r="AL116" s="65"/>
      <c r="AM116" s="67"/>
      <c r="AN116" s="67">
        <v>812453</v>
      </c>
      <c r="AO116" s="67"/>
      <c r="AP116" s="65"/>
      <c r="AQ116" s="66"/>
      <c r="AR116" s="118"/>
    </row>
    <row r="117" spans="1:44" x14ac:dyDescent="0.25">
      <c r="A117" s="16" t="s">
        <v>511</v>
      </c>
      <c r="B117" s="11" t="s">
        <v>580</v>
      </c>
      <c r="C117" s="126" t="s">
        <v>512</v>
      </c>
      <c r="D117" s="67">
        <v>521798</v>
      </c>
      <c r="E117" s="67">
        <v>170386</v>
      </c>
      <c r="F117" s="67">
        <v>100700</v>
      </c>
      <c r="G117" s="67">
        <v>0</v>
      </c>
      <c r="H117" s="67">
        <v>785</v>
      </c>
      <c r="I117" s="140">
        <v>0.375</v>
      </c>
      <c r="J117" s="67" t="s">
        <v>702</v>
      </c>
      <c r="K117" s="67" t="s">
        <v>702</v>
      </c>
      <c r="L117" s="65">
        <v>0.45529999999999998</v>
      </c>
      <c r="M117" s="65" t="s">
        <v>586</v>
      </c>
      <c r="N117" s="65"/>
      <c r="O117" s="65"/>
      <c r="P117" s="67"/>
      <c r="Q117" s="67"/>
      <c r="R117" s="67"/>
      <c r="S117" s="65"/>
      <c r="T117" s="65"/>
      <c r="U117" s="65"/>
      <c r="V117" s="65">
        <v>11.4</v>
      </c>
      <c r="W117" s="118"/>
      <c r="X117" s="65"/>
      <c r="Y117" s="65"/>
      <c r="Z117" s="67">
        <v>11623</v>
      </c>
      <c r="AA117" s="67">
        <v>0</v>
      </c>
      <c r="AB117" s="65"/>
      <c r="AC117" s="65"/>
      <c r="AD117" s="65"/>
      <c r="AE117" s="65">
        <v>3</v>
      </c>
      <c r="AF117" s="65">
        <v>1</v>
      </c>
      <c r="AG117" s="65">
        <v>60.7</v>
      </c>
      <c r="AH117" s="65"/>
      <c r="AI117" s="67"/>
      <c r="AJ117" s="67"/>
      <c r="AK117" s="67"/>
      <c r="AL117" s="65"/>
      <c r="AM117" s="67"/>
      <c r="AN117" s="67">
        <v>1200484</v>
      </c>
      <c r="AO117" s="67"/>
      <c r="AP117" s="65"/>
      <c r="AQ117" s="66"/>
      <c r="AR117" s="118"/>
    </row>
    <row r="118" spans="1:44" x14ac:dyDescent="0.25">
      <c r="A118" s="16" t="s">
        <v>513</v>
      </c>
      <c r="B118" s="11" t="s">
        <v>580</v>
      </c>
      <c r="C118" s="126" t="s">
        <v>514</v>
      </c>
      <c r="D118" s="67">
        <v>711636</v>
      </c>
      <c r="E118" s="67">
        <v>119335</v>
      </c>
      <c r="F118" s="67">
        <v>0</v>
      </c>
      <c r="G118" s="67">
        <v>4</v>
      </c>
      <c r="H118" s="67">
        <v>155</v>
      </c>
      <c r="I118" s="140">
        <v>0.375</v>
      </c>
      <c r="J118" s="67" t="s">
        <v>702</v>
      </c>
      <c r="K118" s="67" t="s">
        <v>702</v>
      </c>
      <c r="L118" s="65">
        <v>0.45529999999999998</v>
      </c>
      <c r="M118" s="65" t="s">
        <v>586</v>
      </c>
      <c r="N118" s="65"/>
      <c r="O118" s="65"/>
      <c r="P118" s="67"/>
      <c r="Q118" s="67"/>
      <c r="R118" s="67"/>
      <c r="S118" s="65"/>
      <c r="T118" s="65"/>
      <c r="U118" s="65"/>
      <c r="V118" s="65">
        <v>23.4</v>
      </c>
      <c r="W118" s="118"/>
      <c r="X118" s="65"/>
      <c r="Y118" s="65"/>
      <c r="Z118" s="67">
        <v>0</v>
      </c>
      <c r="AA118" s="67">
        <v>0</v>
      </c>
      <c r="AB118" s="65"/>
      <c r="AC118" s="65"/>
      <c r="AD118" s="65"/>
      <c r="AE118" s="65">
        <v>3</v>
      </c>
      <c r="AF118" s="65">
        <v>1.5</v>
      </c>
      <c r="AG118" s="65">
        <v>68.900000000000006</v>
      </c>
      <c r="AH118" s="65"/>
      <c r="AI118" s="67"/>
      <c r="AJ118" s="67"/>
      <c r="AK118" s="67"/>
      <c r="AL118" s="65"/>
      <c r="AM118" s="67"/>
      <c r="AN118" s="67">
        <v>1122373</v>
      </c>
      <c r="AO118" s="67"/>
      <c r="AP118" s="65"/>
      <c r="AQ118" s="66"/>
      <c r="AR118" s="118"/>
    </row>
    <row r="119" spans="1:44" x14ac:dyDescent="0.25">
      <c r="A119" s="16" t="s">
        <v>515</v>
      </c>
      <c r="B119" s="11" t="s">
        <v>580</v>
      </c>
      <c r="C119" s="126" t="s">
        <v>516</v>
      </c>
      <c r="D119" s="67">
        <v>14785</v>
      </c>
      <c r="E119" s="67">
        <v>134645</v>
      </c>
      <c r="F119" s="67">
        <v>2665</v>
      </c>
      <c r="G119" s="67">
        <v>5</v>
      </c>
      <c r="H119" s="67">
        <v>382</v>
      </c>
      <c r="I119" s="140">
        <v>0.375</v>
      </c>
      <c r="J119" s="67" t="s">
        <v>702</v>
      </c>
      <c r="K119" s="67" t="s">
        <v>702</v>
      </c>
      <c r="L119" s="65">
        <v>0.45529999999999998</v>
      </c>
      <c r="M119" s="65" t="s">
        <v>586</v>
      </c>
      <c r="N119" s="65"/>
      <c r="O119" s="65"/>
      <c r="P119" s="67"/>
      <c r="Q119" s="67"/>
      <c r="R119" s="67"/>
      <c r="S119" s="65"/>
      <c r="T119" s="65"/>
      <c r="U119" s="65"/>
      <c r="V119" s="65">
        <v>3.8</v>
      </c>
      <c r="W119" s="118"/>
      <c r="X119" s="65"/>
      <c r="Y119" s="65"/>
      <c r="Z119" s="67">
        <v>16160</v>
      </c>
      <c r="AA119" s="67">
        <v>0</v>
      </c>
      <c r="AB119" s="65"/>
      <c r="AC119" s="65"/>
      <c r="AD119" s="65"/>
      <c r="AE119" s="65">
        <v>3</v>
      </c>
      <c r="AF119" s="65">
        <v>9.6</v>
      </c>
      <c r="AG119" s="65">
        <v>52.2</v>
      </c>
      <c r="AH119" s="65"/>
      <c r="AI119" s="67"/>
      <c r="AJ119" s="67"/>
      <c r="AK119" s="67"/>
      <c r="AL119" s="65"/>
      <c r="AM119" s="67"/>
      <c r="AN119" s="67">
        <v>454911</v>
      </c>
      <c r="AO119" s="67"/>
      <c r="AP119" s="65"/>
      <c r="AQ119" s="66"/>
      <c r="AR119" s="118"/>
    </row>
    <row r="120" spans="1:44" x14ac:dyDescent="0.25">
      <c r="A120" s="16" t="s">
        <v>517</v>
      </c>
      <c r="B120" s="11" t="s">
        <v>580</v>
      </c>
      <c r="C120" s="126" t="s">
        <v>518</v>
      </c>
      <c r="D120" s="67">
        <v>270690</v>
      </c>
      <c r="E120" s="67">
        <v>12</v>
      </c>
      <c r="F120" s="67">
        <v>169646</v>
      </c>
      <c r="G120" s="67">
        <v>5</v>
      </c>
      <c r="H120" s="67">
        <v>961</v>
      </c>
      <c r="I120" s="140">
        <v>0.375</v>
      </c>
      <c r="J120" s="67" t="s">
        <v>702</v>
      </c>
      <c r="K120" s="67" t="s">
        <v>702</v>
      </c>
      <c r="L120" s="65">
        <v>0.45529999999999998</v>
      </c>
      <c r="M120" s="65" t="s">
        <v>586</v>
      </c>
      <c r="N120" s="65"/>
      <c r="O120" s="65"/>
      <c r="P120" s="67"/>
      <c r="Q120" s="67"/>
      <c r="R120" s="67"/>
      <c r="S120" s="65"/>
      <c r="T120" s="65"/>
      <c r="U120" s="65"/>
      <c r="V120" s="65">
        <v>18.600000000000001</v>
      </c>
      <c r="W120" s="118"/>
      <c r="X120" s="65"/>
      <c r="Y120" s="65"/>
      <c r="Z120" s="67">
        <v>130828</v>
      </c>
      <c r="AA120" s="67">
        <v>0</v>
      </c>
      <c r="AB120" s="65"/>
      <c r="AC120" s="65"/>
      <c r="AD120" s="65"/>
      <c r="AE120" s="65">
        <v>3</v>
      </c>
      <c r="AF120" s="65">
        <v>4</v>
      </c>
      <c r="AG120" s="65">
        <v>92</v>
      </c>
      <c r="AH120" s="65"/>
      <c r="AI120" s="67"/>
      <c r="AJ120" s="67"/>
      <c r="AK120" s="67"/>
      <c r="AL120" s="65"/>
      <c r="AM120" s="67"/>
      <c r="AN120" s="67">
        <v>784928</v>
      </c>
      <c r="AO120" s="67"/>
      <c r="AP120" s="65"/>
      <c r="AQ120" s="66"/>
      <c r="AR120" s="118"/>
    </row>
    <row r="121" spans="1:44" x14ac:dyDescent="0.25">
      <c r="A121" s="16" t="s">
        <v>519</v>
      </c>
      <c r="B121" s="11" t="s">
        <v>580</v>
      </c>
      <c r="C121" s="126" t="s">
        <v>520</v>
      </c>
      <c r="D121" s="67">
        <v>9974</v>
      </c>
      <c r="E121" s="67">
        <v>0</v>
      </c>
      <c r="F121" s="67">
        <v>125842</v>
      </c>
      <c r="G121" s="67">
        <v>0</v>
      </c>
      <c r="H121" s="67">
        <v>41</v>
      </c>
      <c r="I121" s="140">
        <v>0.375</v>
      </c>
      <c r="J121" s="67" t="s">
        <v>702</v>
      </c>
      <c r="K121" s="67" t="s">
        <v>702</v>
      </c>
      <c r="L121" s="65">
        <v>0.45529999999999998</v>
      </c>
      <c r="M121" s="65" t="s">
        <v>586</v>
      </c>
      <c r="N121" s="65"/>
      <c r="O121" s="65"/>
      <c r="P121" s="67"/>
      <c r="Q121" s="67"/>
      <c r="R121" s="67"/>
      <c r="S121" s="65"/>
      <c r="T121" s="65"/>
      <c r="U121" s="65"/>
      <c r="V121" s="65">
        <v>0.6</v>
      </c>
      <c r="W121" s="118"/>
      <c r="X121" s="65"/>
      <c r="Y121" s="65"/>
      <c r="Z121" s="67">
        <v>4707</v>
      </c>
      <c r="AA121" s="67">
        <v>0</v>
      </c>
      <c r="AB121" s="65"/>
      <c r="AC121" s="65"/>
      <c r="AD121" s="65"/>
      <c r="AE121" s="65">
        <v>3</v>
      </c>
      <c r="AF121" s="65">
        <v>22.5</v>
      </c>
      <c r="AG121" s="65">
        <v>61.3</v>
      </c>
      <c r="AH121" s="65"/>
      <c r="AI121" s="67"/>
      <c r="AJ121" s="67"/>
      <c r="AK121" s="67"/>
      <c r="AL121" s="65"/>
      <c r="AM121" s="67"/>
      <c r="AN121" s="67">
        <v>860307</v>
      </c>
      <c r="AO121" s="67"/>
      <c r="AP121" s="65"/>
      <c r="AQ121" s="66"/>
      <c r="AR121" s="118"/>
    </row>
    <row r="122" spans="1:44" x14ac:dyDescent="0.25">
      <c r="A122" s="16" t="s">
        <v>521</v>
      </c>
      <c r="B122" s="11" t="s">
        <v>580</v>
      </c>
      <c r="C122" s="126" t="s">
        <v>522</v>
      </c>
      <c r="D122" s="67">
        <v>327690</v>
      </c>
      <c r="E122" s="67">
        <v>0</v>
      </c>
      <c r="F122" s="67">
        <v>209229</v>
      </c>
      <c r="G122" s="67">
        <v>0</v>
      </c>
      <c r="H122" s="67">
        <v>2231</v>
      </c>
      <c r="I122" s="140">
        <v>0.375</v>
      </c>
      <c r="J122" s="67" t="s">
        <v>702</v>
      </c>
      <c r="K122" s="67" t="s">
        <v>702</v>
      </c>
      <c r="L122" s="65">
        <v>0.45529999999999998</v>
      </c>
      <c r="M122" s="65" t="s">
        <v>586</v>
      </c>
      <c r="N122" s="65"/>
      <c r="O122" s="65"/>
      <c r="P122" s="67"/>
      <c r="Q122" s="67"/>
      <c r="R122" s="67"/>
      <c r="S122" s="65"/>
      <c r="T122" s="65"/>
      <c r="U122" s="65"/>
      <c r="V122" s="65">
        <v>11.6</v>
      </c>
      <c r="W122" s="118"/>
      <c r="X122" s="65"/>
      <c r="Y122" s="65"/>
      <c r="Z122" s="67">
        <v>63958</v>
      </c>
      <c r="AA122" s="67">
        <v>0</v>
      </c>
      <c r="AB122" s="65"/>
      <c r="AC122" s="65"/>
      <c r="AD122" s="65"/>
      <c r="AE122" s="65">
        <v>3</v>
      </c>
      <c r="AF122" s="65">
        <v>12.7</v>
      </c>
      <c r="AG122" s="65">
        <v>58.8</v>
      </c>
      <c r="AH122" s="65"/>
      <c r="AI122" s="67"/>
      <c r="AJ122" s="67"/>
      <c r="AK122" s="67"/>
      <c r="AL122" s="65"/>
      <c r="AM122" s="67"/>
      <c r="AN122" s="67">
        <v>1726080</v>
      </c>
      <c r="AO122" s="67"/>
      <c r="AP122" s="65"/>
      <c r="AQ122" s="66"/>
      <c r="AR122" s="118"/>
    </row>
    <row r="123" spans="1:44" x14ac:dyDescent="0.25">
      <c r="A123" s="16" t="s">
        <v>523</v>
      </c>
      <c r="B123" s="11" t="s">
        <v>580</v>
      </c>
      <c r="C123" s="126" t="s">
        <v>524</v>
      </c>
      <c r="D123" s="67">
        <v>265</v>
      </c>
      <c r="E123" s="67">
        <v>191482</v>
      </c>
      <c r="F123" s="67">
        <v>314226</v>
      </c>
      <c r="G123" s="67">
        <v>0</v>
      </c>
      <c r="H123" s="67">
        <v>116</v>
      </c>
      <c r="I123" s="140">
        <v>0.375</v>
      </c>
      <c r="J123" s="67" t="s">
        <v>702</v>
      </c>
      <c r="K123" s="67" t="s">
        <v>702</v>
      </c>
      <c r="L123" s="65">
        <v>0.45529999999999998</v>
      </c>
      <c r="M123" s="65" t="s">
        <v>586</v>
      </c>
      <c r="N123" s="65"/>
      <c r="O123" s="65"/>
      <c r="P123" s="67"/>
      <c r="Q123" s="67"/>
      <c r="R123" s="67"/>
      <c r="S123" s="65"/>
      <c r="T123" s="65"/>
      <c r="U123" s="65"/>
      <c r="V123" s="65">
        <v>7.1</v>
      </c>
      <c r="W123" s="118"/>
      <c r="X123" s="65"/>
      <c r="Y123" s="65"/>
      <c r="Z123" s="67">
        <v>7566</v>
      </c>
      <c r="AA123" s="67">
        <v>0</v>
      </c>
      <c r="AB123" s="65"/>
      <c r="AC123" s="65"/>
      <c r="AD123" s="65"/>
      <c r="AE123" s="65">
        <v>3</v>
      </c>
      <c r="AF123" s="65">
        <v>4.5</v>
      </c>
      <c r="AG123" s="65">
        <v>83.9</v>
      </c>
      <c r="AH123" s="65"/>
      <c r="AI123" s="67"/>
      <c r="AJ123" s="67"/>
      <c r="AK123" s="67"/>
      <c r="AL123" s="65"/>
      <c r="AM123" s="67"/>
      <c r="AN123" s="67">
        <v>1027077</v>
      </c>
      <c r="AO123" s="67"/>
      <c r="AP123" s="65"/>
      <c r="AQ123" s="66"/>
      <c r="AR123" s="118"/>
    </row>
    <row r="124" spans="1:44" x14ac:dyDescent="0.25">
      <c r="A124" s="16" t="s">
        <v>526</v>
      </c>
      <c r="B124" s="11" t="s">
        <v>579</v>
      </c>
      <c r="C124" s="126" t="s">
        <v>527</v>
      </c>
      <c r="D124" s="67">
        <v>3890496</v>
      </c>
      <c r="E124" s="67">
        <v>0</v>
      </c>
      <c r="F124" s="67">
        <v>14887</v>
      </c>
      <c r="G124" s="67">
        <v>0</v>
      </c>
      <c r="H124" s="67" t="s">
        <v>586</v>
      </c>
      <c r="I124" s="140">
        <v>0.69</v>
      </c>
      <c r="J124" s="67" t="s">
        <v>702</v>
      </c>
      <c r="K124" s="65">
        <v>0.62792662390076637</v>
      </c>
      <c r="L124" s="65">
        <v>0.35289999999999999</v>
      </c>
      <c r="M124" s="65" t="s">
        <v>586</v>
      </c>
      <c r="N124" s="65"/>
      <c r="O124" s="65"/>
      <c r="P124" s="67"/>
      <c r="Q124" s="67"/>
      <c r="R124" s="67"/>
      <c r="S124" s="65"/>
      <c r="T124" s="65"/>
      <c r="U124" s="65"/>
      <c r="V124" s="65">
        <v>0</v>
      </c>
      <c r="W124" s="118"/>
      <c r="X124" s="65"/>
      <c r="Y124" s="65"/>
      <c r="Z124" s="65">
        <v>0</v>
      </c>
      <c r="AA124" s="67">
        <v>22274</v>
      </c>
      <c r="AB124" s="65"/>
      <c r="AC124" s="65"/>
      <c r="AD124" s="65"/>
      <c r="AE124" s="65" t="s">
        <v>586</v>
      </c>
      <c r="AF124" s="65">
        <v>27</v>
      </c>
      <c r="AG124" s="65">
        <v>60.5</v>
      </c>
      <c r="AH124" s="65"/>
      <c r="AI124" s="67"/>
      <c r="AJ124" s="67"/>
      <c r="AK124" s="67"/>
      <c r="AL124" s="65"/>
      <c r="AM124" s="67"/>
      <c r="AN124" s="67">
        <v>4397589</v>
      </c>
      <c r="AO124" s="67"/>
      <c r="AP124" s="65"/>
      <c r="AQ124" s="66"/>
      <c r="AR124" s="118"/>
    </row>
    <row r="125" spans="1:44" x14ac:dyDescent="0.25">
      <c r="A125" s="16" t="s">
        <v>528</v>
      </c>
      <c r="B125" s="11" t="s">
        <v>579</v>
      </c>
      <c r="C125" s="126" t="s">
        <v>529</v>
      </c>
      <c r="D125" s="67">
        <v>197571</v>
      </c>
      <c r="E125" s="67">
        <v>0</v>
      </c>
      <c r="F125" s="67">
        <v>33330</v>
      </c>
      <c r="G125" s="67">
        <v>5</v>
      </c>
      <c r="H125" s="67">
        <v>836</v>
      </c>
      <c r="I125" s="140">
        <v>0.53100000000000003</v>
      </c>
      <c r="J125" s="67" t="s">
        <v>702</v>
      </c>
      <c r="K125" s="65">
        <v>0.62792662390076637</v>
      </c>
      <c r="L125" s="65">
        <v>0.35289999999999999</v>
      </c>
      <c r="M125" s="65" t="s">
        <v>586</v>
      </c>
      <c r="N125" s="65"/>
      <c r="O125" s="65"/>
      <c r="P125" s="67"/>
      <c r="Q125" s="67"/>
      <c r="R125" s="67"/>
      <c r="S125" s="65"/>
      <c r="T125" s="65"/>
      <c r="U125" s="65"/>
      <c r="V125" s="65">
        <v>7</v>
      </c>
      <c r="W125" s="118"/>
      <c r="X125" s="65"/>
      <c r="Y125" s="65"/>
      <c r="Z125" s="67">
        <v>135205</v>
      </c>
      <c r="AA125" s="67">
        <v>3661</v>
      </c>
      <c r="AB125" s="65"/>
      <c r="AC125" s="65"/>
      <c r="AD125" s="65"/>
      <c r="AE125" s="65" t="s">
        <v>586</v>
      </c>
      <c r="AF125" s="65">
        <v>27</v>
      </c>
      <c r="AG125" s="65">
        <v>60.5</v>
      </c>
      <c r="AH125" s="65"/>
      <c r="AI125" s="67"/>
      <c r="AJ125" s="67"/>
      <c r="AK125" s="67"/>
      <c r="AL125" s="65"/>
      <c r="AM125" s="67"/>
      <c r="AN125" s="67">
        <v>957090</v>
      </c>
      <c r="AO125" s="67"/>
      <c r="AP125" s="65"/>
      <c r="AQ125" s="66"/>
      <c r="AR125" s="118"/>
    </row>
    <row r="126" spans="1:44" x14ac:dyDescent="0.25">
      <c r="A126" s="16" t="s">
        <v>530</v>
      </c>
      <c r="B126" s="11" t="s">
        <v>579</v>
      </c>
      <c r="C126" s="126" t="s">
        <v>531</v>
      </c>
      <c r="D126" s="67">
        <v>240565</v>
      </c>
      <c r="E126" s="67">
        <v>69246</v>
      </c>
      <c r="F126" s="67">
        <v>0</v>
      </c>
      <c r="G126" s="67">
        <v>5</v>
      </c>
      <c r="H126" s="67" t="s">
        <v>586</v>
      </c>
      <c r="I126" s="140" t="s">
        <v>586</v>
      </c>
      <c r="J126" s="67" t="s">
        <v>702</v>
      </c>
      <c r="K126" s="65">
        <v>0.62792662390076637</v>
      </c>
      <c r="L126" s="65">
        <v>0.35289999999999999</v>
      </c>
      <c r="M126" s="65" t="s">
        <v>586</v>
      </c>
      <c r="N126" s="65"/>
      <c r="O126" s="65"/>
      <c r="P126" s="67"/>
      <c r="Q126" s="67"/>
      <c r="R126" s="67"/>
      <c r="S126" s="65"/>
      <c r="T126" s="65"/>
      <c r="U126" s="65"/>
      <c r="V126" s="65">
        <v>55</v>
      </c>
      <c r="W126" s="118"/>
      <c r="X126" s="65"/>
      <c r="Y126" s="65"/>
      <c r="Z126" s="67">
        <v>408521</v>
      </c>
      <c r="AA126" s="67">
        <v>8950</v>
      </c>
      <c r="AB126" s="65"/>
      <c r="AC126" s="65"/>
      <c r="AD126" s="65"/>
      <c r="AE126" s="65" t="s">
        <v>586</v>
      </c>
      <c r="AF126" s="65">
        <v>27</v>
      </c>
      <c r="AG126" s="65">
        <v>60.5</v>
      </c>
      <c r="AH126" s="65"/>
      <c r="AI126" s="67"/>
      <c r="AJ126" s="67"/>
      <c r="AK126" s="67"/>
      <c r="AL126" s="65"/>
      <c r="AM126" s="67"/>
      <c r="AN126" s="67">
        <v>799743</v>
      </c>
      <c r="AO126" s="67"/>
      <c r="AP126" s="65"/>
      <c r="AQ126" s="66"/>
      <c r="AR126" s="118"/>
    </row>
    <row r="127" spans="1:44" x14ac:dyDescent="0.25">
      <c r="A127" s="16" t="s">
        <v>532</v>
      </c>
      <c r="B127" s="11" t="s">
        <v>579</v>
      </c>
      <c r="C127" s="126" t="s">
        <v>533</v>
      </c>
      <c r="D127" s="67">
        <v>201686</v>
      </c>
      <c r="E127" s="67">
        <v>573121</v>
      </c>
      <c r="F127" s="67">
        <v>0</v>
      </c>
      <c r="G127" s="67">
        <v>4</v>
      </c>
      <c r="H127" s="67">
        <v>1</v>
      </c>
      <c r="I127" s="140" t="s">
        <v>586</v>
      </c>
      <c r="J127" s="67" t="s">
        <v>702</v>
      </c>
      <c r="K127" s="65">
        <v>0.62792662390076637</v>
      </c>
      <c r="L127" s="65">
        <v>0.35289999999999999</v>
      </c>
      <c r="M127" s="65" t="s">
        <v>586</v>
      </c>
      <c r="N127" s="65"/>
      <c r="O127" s="65"/>
      <c r="P127" s="67"/>
      <c r="Q127" s="67"/>
      <c r="R127" s="67"/>
      <c r="S127" s="65"/>
      <c r="T127" s="65"/>
      <c r="U127" s="65"/>
      <c r="V127" s="65">
        <v>46</v>
      </c>
      <c r="W127" s="118"/>
      <c r="X127" s="65"/>
      <c r="Y127" s="65"/>
      <c r="Z127" s="67">
        <v>218291</v>
      </c>
      <c r="AA127" s="67">
        <v>8950</v>
      </c>
      <c r="AB127" s="65"/>
      <c r="AC127" s="65"/>
      <c r="AD127" s="65"/>
      <c r="AE127" s="65" t="s">
        <v>586</v>
      </c>
      <c r="AF127" s="65">
        <v>27</v>
      </c>
      <c r="AG127" s="65">
        <v>60.5</v>
      </c>
      <c r="AH127" s="65"/>
      <c r="AI127" s="67"/>
      <c r="AJ127" s="67"/>
      <c r="AK127" s="67"/>
      <c r="AL127" s="65"/>
      <c r="AM127" s="67"/>
      <c r="AN127" s="67">
        <v>1666966</v>
      </c>
      <c r="AO127" s="67"/>
      <c r="AP127" s="65"/>
      <c r="AQ127" s="66"/>
      <c r="AR127" s="118"/>
    </row>
    <row r="128" spans="1:44" x14ac:dyDescent="0.25">
      <c r="A128" s="16" t="s">
        <v>534</v>
      </c>
      <c r="B128" s="11" t="s">
        <v>579</v>
      </c>
      <c r="C128" s="126" t="s">
        <v>535</v>
      </c>
      <c r="D128" s="67">
        <v>185911</v>
      </c>
      <c r="E128" s="67">
        <v>2909</v>
      </c>
      <c r="F128" s="67">
        <v>0</v>
      </c>
      <c r="G128" s="67">
        <v>0</v>
      </c>
      <c r="H128" s="67" t="s">
        <v>586</v>
      </c>
      <c r="I128" s="140">
        <v>0.53300000000000003</v>
      </c>
      <c r="J128" s="67" t="s">
        <v>702</v>
      </c>
      <c r="K128" s="65">
        <v>0.62792662390076637</v>
      </c>
      <c r="L128" s="65">
        <v>0.35289999999999999</v>
      </c>
      <c r="M128" s="65" t="s">
        <v>586</v>
      </c>
      <c r="N128" s="65"/>
      <c r="O128" s="65"/>
      <c r="P128" s="67"/>
      <c r="Q128" s="67"/>
      <c r="R128" s="67"/>
      <c r="S128" s="65"/>
      <c r="T128" s="65"/>
      <c r="U128" s="65"/>
      <c r="V128" s="65">
        <v>13</v>
      </c>
      <c r="W128" s="118"/>
      <c r="X128" s="65"/>
      <c r="Y128" s="65"/>
      <c r="Z128" s="67">
        <v>0</v>
      </c>
      <c r="AA128" s="67">
        <v>22274</v>
      </c>
      <c r="AB128" s="65"/>
      <c r="AC128" s="65"/>
      <c r="AD128" s="65"/>
      <c r="AE128" s="65" t="s">
        <v>586</v>
      </c>
      <c r="AF128" s="65">
        <v>27</v>
      </c>
      <c r="AG128" s="65">
        <v>60.5</v>
      </c>
      <c r="AH128" s="65"/>
      <c r="AI128" s="67"/>
      <c r="AJ128" s="67"/>
      <c r="AK128" s="67"/>
      <c r="AL128" s="65"/>
      <c r="AM128" s="67"/>
      <c r="AN128" s="67">
        <v>1345142</v>
      </c>
      <c r="AO128" s="67"/>
      <c r="AP128" s="65"/>
      <c r="AQ128" s="66"/>
      <c r="AR128" s="118"/>
    </row>
    <row r="129" spans="1:43" x14ac:dyDescent="0.25">
      <c r="A129" s="16" t="s">
        <v>536</v>
      </c>
      <c r="B129" s="11" t="s">
        <v>579</v>
      </c>
      <c r="C129" s="126" t="s">
        <v>537</v>
      </c>
      <c r="D129" s="67">
        <v>1595998</v>
      </c>
      <c r="E129" s="67">
        <v>92534</v>
      </c>
      <c r="F129" s="67">
        <v>0</v>
      </c>
      <c r="G129" s="67">
        <v>0</v>
      </c>
      <c r="H129" s="67">
        <v>63</v>
      </c>
      <c r="I129" s="140">
        <v>0.56599999999999995</v>
      </c>
      <c r="J129" s="67" t="s">
        <v>702</v>
      </c>
      <c r="K129" s="65">
        <v>0.62792662390076637</v>
      </c>
      <c r="L129" s="65">
        <v>0.35289999999999999</v>
      </c>
      <c r="M129" s="65" t="s">
        <v>586</v>
      </c>
      <c r="N129" s="65"/>
      <c r="O129" s="65"/>
      <c r="P129" s="67"/>
      <c r="Q129" s="67"/>
      <c r="R129" s="67"/>
      <c r="S129" s="65"/>
      <c r="T129" s="66"/>
      <c r="U129" s="66"/>
      <c r="V129" s="66">
        <v>22</v>
      </c>
      <c r="W129" s="66"/>
      <c r="X129" s="67"/>
      <c r="Y129" s="67"/>
      <c r="Z129" s="67">
        <v>0</v>
      </c>
      <c r="AA129" s="67">
        <v>22274</v>
      </c>
      <c r="AB129" s="66"/>
      <c r="AC129" s="65"/>
      <c r="AD129" s="66"/>
      <c r="AE129" s="65" t="s">
        <v>586</v>
      </c>
      <c r="AF129" s="65">
        <v>27</v>
      </c>
      <c r="AG129" s="65">
        <v>60.5</v>
      </c>
      <c r="AH129" s="65"/>
      <c r="AI129" s="67"/>
      <c r="AJ129" s="67"/>
      <c r="AK129" s="67"/>
      <c r="AL129" s="67"/>
      <c r="AM129" s="67"/>
      <c r="AN129" s="67">
        <v>2200055</v>
      </c>
      <c r="AO129" s="67"/>
      <c r="AP129" s="67"/>
      <c r="AQ129" s="66"/>
    </row>
    <row r="130" spans="1:43" x14ac:dyDescent="0.25">
      <c r="A130" s="16" t="s">
        <v>538</v>
      </c>
      <c r="B130" s="11" t="s">
        <v>579</v>
      </c>
      <c r="C130" s="126" t="s">
        <v>539</v>
      </c>
      <c r="D130" s="67">
        <v>4728435</v>
      </c>
      <c r="E130" s="67">
        <v>18</v>
      </c>
      <c r="F130" s="67">
        <v>540612</v>
      </c>
      <c r="G130" s="67">
        <v>3</v>
      </c>
      <c r="H130" s="67">
        <v>321</v>
      </c>
      <c r="I130" s="140">
        <v>0.70599999999999996</v>
      </c>
      <c r="J130" s="67" t="s">
        <v>702</v>
      </c>
      <c r="K130" s="65">
        <v>0.62792662390076637</v>
      </c>
      <c r="L130" s="65">
        <v>0.35289999999999999</v>
      </c>
      <c r="M130" s="65" t="s">
        <v>586</v>
      </c>
      <c r="N130" s="65"/>
      <c r="O130" s="65"/>
      <c r="P130" s="67"/>
      <c r="Q130" s="67"/>
      <c r="R130" s="67"/>
      <c r="S130" s="65"/>
      <c r="T130" s="66"/>
      <c r="U130" s="66"/>
      <c r="V130" s="66">
        <v>0</v>
      </c>
      <c r="W130" s="66"/>
      <c r="X130" s="67"/>
      <c r="Y130" s="67"/>
      <c r="Z130" s="67">
        <v>10475</v>
      </c>
      <c r="AA130" s="67">
        <v>63222</v>
      </c>
      <c r="AB130" s="66"/>
      <c r="AC130" s="65"/>
      <c r="AD130" s="66"/>
      <c r="AE130" s="65" t="s">
        <v>586</v>
      </c>
      <c r="AF130" s="65">
        <v>27</v>
      </c>
      <c r="AG130" s="65">
        <v>60.5</v>
      </c>
      <c r="AH130" s="65"/>
      <c r="AI130" s="67"/>
      <c r="AJ130" s="67"/>
      <c r="AK130" s="67"/>
      <c r="AL130" s="67"/>
      <c r="AM130" s="67"/>
      <c r="AN130" s="67">
        <v>5848596</v>
      </c>
      <c r="AO130" s="67"/>
      <c r="AP130" s="67"/>
      <c r="AQ130" s="66"/>
    </row>
    <row r="131" spans="1:43" x14ac:dyDescent="0.25">
      <c r="A131" s="16" t="s">
        <v>540</v>
      </c>
      <c r="B131" s="11" t="s">
        <v>579</v>
      </c>
      <c r="C131" s="126" t="s">
        <v>541</v>
      </c>
      <c r="D131" s="67">
        <v>39230</v>
      </c>
      <c r="E131" s="67">
        <v>609712</v>
      </c>
      <c r="F131" s="67">
        <v>0</v>
      </c>
      <c r="G131" s="67">
        <v>5</v>
      </c>
      <c r="H131" s="67">
        <v>2593</v>
      </c>
      <c r="I131" s="140">
        <v>0.54800000000000004</v>
      </c>
      <c r="J131" s="67" t="s">
        <v>702</v>
      </c>
      <c r="K131" s="65">
        <v>0.62792662390076637</v>
      </c>
      <c r="L131" s="65">
        <v>0.35289999999999999</v>
      </c>
      <c r="M131" s="65" t="s">
        <v>586</v>
      </c>
      <c r="N131" s="65"/>
      <c r="O131" s="65"/>
      <c r="P131" s="67"/>
      <c r="Q131" s="67"/>
      <c r="R131" s="67"/>
      <c r="S131" s="65"/>
      <c r="T131" s="66"/>
      <c r="U131" s="66"/>
      <c r="V131" s="66">
        <v>42</v>
      </c>
      <c r="W131" s="66"/>
      <c r="X131" s="67"/>
      <c r="Y131" s="67"/>
      <c r="Z131" s="67">
        <v>701433</v>
      </c>
      <c r="AA131" s="67">
        <v>8950</v>
      </c>
      <c r="AB131" s="66"/>
      <c r="AC131" s="65"/>
      <c r="AD131" s="66"/>
      <c r="AE131" s="65" t="s">
        <v>586</v>
      </c>
      <c r="AF131" s="65">
        <v>27</v>
      </c>
      <c r="AG131" s="65">
        <v>60.5</v>
      </c>
      <c r="AH131" s="65"/>
      <c r="AI131" s="67"/>
      <c r="AJ131" s="67"/>
      <c r="AK131" s="67"/>
      <c r="AL131" s="67"/>
      <c r="AM131" s="67"/>
      <c r="AN131" s="67">
        <v>2394978</v>
      </c>
      <c r="AO131" s="67"/>
      <c r="AP131" s="67"/>
      <c r="AQ131" s="66"/>
    </row>
    <row r="132" spans="1:43" x14ac:dyDescent="0.25">
      <c r="A132" s="16" t="s">
        <v>542</v>
      </c>
      <c r="B132" s="11" t="s">
        <v>579</v>
      </c>
      <c r="C132" s="126" t="s">
        <v>543</v>
      </c>
      <c r="D132" s="67">
        <v>150587</v>
      </c>
      <c r="E132" s="67">
        <v>1393958</v>
      </c>
      <c r="F132" s="67">
        <v>251214</v>
      </c>
      <c r="G132" s="67">
        <v>0</v>
      </c>
      <c r="H132" s="67">
        <v>73</v>
      </c>
      <c r="I132" s="140">
        <v>0.57899999999999996</v>
      </c>
      <c r="J132" s="67" t="s">
        <v>702</v>
      </c>
      <c r="K132" s="65">
        <v>0.62792662390076637</v>
      </c>
      <c r="L132" s="65">
        <v>0.35289999999999999</v>
      </c>
      <c r="M132" s="65" t="s">
        <v>586</v>
      </c>
      <c r="N132" s="65"/>
      <c r="O132" s="65"/>
      <c r="P132" s="67"/>
      <c r="Q132" s="67"/>
      <c r="R132" s="67"/>
      <c r="S132" s="65"/>
      <c r="T132" s="66"/>
      <c r="U132" s="66"/>
      <c r="V132" s="66">
        <v>8</v>
      </c>
      <c r="W132" s="66"/>
      <c r="X132" s="67"/>
      <c r="Y132" s="67"/>
      <c r="Z132" s="67">
        <v>44665</v>
      </c>
      <c r="AA132" s="67">
        <v>3859</v>
      </c>
      <c r="AB132" s="66"/>
      <c r="AC132" s="65"/>
      <c r="AD132" s="66"/>
      <c r="AE132" s="65" t="s">
        <v>586</v>
      </c>
      <c r="AF132" s="65">
        <v>27</v>
      </c>
      <c r="AG132" s="65">
        <v>60.5</v>
      </c>
      <c r="AH132" s="65"/>
      <c r="AI132" s="67"/>
      <c r="AJ132" s="67"/>
      <c r="AK132" s="67"/>
      <c r="AL132" s="67"/>
      <c r="AM132" s="67"/>
      <c r="AN132" s="67">
        <v>3278585</v>
      </c>
      <c r="AO132" s="67"/>
      <c r="AP132" s="67"/>
      <c r="AQ132" s="66"/>
    </row>
    <row r="133" spans="1:43" x14ac:dyDescent="0.25">
      <c r="A133" s="16" t="s">
        <v>544</v>
      </c>
      <c r="B133" s="11" t="s">
        <v>579</v>
      </c>
      <c r="C133" s="126" t="s">
        <v>545</v>
      </c>
      <c r="D133" s="67">
        <v>617608</v>
      </c>
      <c r="E133" s="67">
        <v>132372</v>
      </c>
      <c r="F133" s="67">
        <v>0</v>
      </c>
      <c r="G133" s="67">
        <v>0</v>
      </c>
      <c r="H133" s="67">
        <v>6</v>
      </c>
      <c r="I133" s="140">
        <v>0.61199999999999999</v>
      </c>
      <c r="J133" s="67" t="s">
        <v>702</v>
      </c>
      <c r="K133" s="65">
        <v>0.62792662390076637</v>
      </c>
      <c r="L133" s="65">
        <v>0.35289999999999999</v>
      </c>
      <c r="M133" s="65" t="s">
        <v>586</v>
      </c>
      <c r="N133" s="65"/>
      <c r="O133" s="65"/>
      <c r="P133" s="67"/>
      <c r="Q133" s="67"/>
      <c r="R133" s="67"/>
      <c r="S133" s="65"/>
      <c r="T133" s="66"/>
      <c r="U133" s="66"/>
      <c r="V133" s="66">
        <v>0</v>
      </c>
      <c r="W133" s="66"/>
      <c r="X133" s="67"/>
      <c r="Y133" s="67"/>
      <c r="Z133" s="67">
        <v>0</v>
      </c>
      <c r="AA133" s="67">
        <v>0</v>
      </c>
      <c r="AB133" s="66"/>
      <c r="AC133" s="65"/>
      <c r="AD133" s="66"/>
      <c r="AE133" s="65" t="s">
        <v>586</v>
      </c>
      <c r="AF133" s="65">
        <v>27</v>
      </c>
      <c r="AG133" s="65">
        <v>60.5</v>
      </c>
      <c r="AH133" s="65"/>
      <c r="AI133" s="67"/>
      <c r="AJ133" s="67"/>
      <c r="AK133" s="67"/>
      <c r="AL133" s="67"/>
      <c r="AM133" s="67"/>
      <c r="AN133" s="67">
        <v>786419</v>
      </c>
      <c r="AO133" s="67"/>
      <c r="AP133" s="67"/>
      <c r="AQ133" s="66"/>
    </row>
    <row r="134" spans="1:43" x14ac:dyDescent="0.25">
      <c r="A134" s="16" t="s">
        <v>546</v>
      </c>
      <c r="B134" s="11" t="s">
        <v>579</v>
      </c>
      <c r="C134" s="126" t="s">
        <v>547</v>
      </c>
      <c r="D134" s="67">
        <v>253839</v>
      </c>
      <c r="E134" s="67">
        <v>411027</v>
      </c>
      <c r="F134" s="67">
        <v>0</v>
      </c>
      <c r="G134" s="67">
        <v>0</v>
      </c>
      <c r="H134" s="67" t="s">
        <v>586</v>
      </c>
      <c r="I134" s="140">
        <v>0.56299999999999994</v>
      </c>
      <c r="J134" s="67" t="s">
        <v>702</v>
      </c>
      <c r="K134" s="65">
        <v>0.62792662390076637</v>
      </c>
      <c r="L134" s="65">
        <v>0.35289999999999999</v>
      </c>
      <c r="M134" s="65" t="s">
        <v>586</v>
      </c>
      <c r="N134" s="65"/>
      <c r="O134" s="65"/>
      <c r="P134" s="67"/>
      <c r="Q134" s="67"/>
      <c r="R134" s="67"/>
      <c r="S134" s="65"/>
      <c r="T134" s="66"/>
      <c r="U134" s="66"/>
      <c r="V134" s="66">
        <v>16</v>
      </c>
      <c r="W134" s="66"/>
      <c r="X134" s="67"/>
      <c r="Y134" s="67"/>
      <c r="Z134" s="67">
        <v>0</v>
      </c>
      <c r="AA134" s="67">
        <v>0</v>
      </c>
      <c r="AB134" s="66"/>
      <c r="AC134" s="65"/>
      <c r="AD134" s="66"/>
      <c r="AE134" s="65" t="s">
        <v>586</v>
      </c>
      <c r="AF134" s="65">
        <v>27</v>
      </c>
      <c r="AG134" s="65">
        <v>60.5</v>
      </c>
      <c r="AH134" s="65"/>
      <c r="AI134" s="67"/>
      <c r="AJ134" s="67"/>
      <c r="AK134" s="67"/>
      <c r="AL134" s="67"/>
      <c r="AM134" s="67"/>
      <c r="AN134" s="67">
        <v>1565316</v>
      </c>
      <c r="AO134" s="67"/>
      <c r="AP134" s="67"/>
      <c r="AQ134" s="66"/>
    </row>
    <row r="135" spans="1:43" x14ac:dyDescent="0.25">
      <c r="A135" s="16" t="s">
        <v>548</v>
      </c>
      <c r="B135" s="11" t="s">
        <v>579</v>
      </c>
      <c r="C135" s="126" t="s">
        <v>549</v>
      </c>
      <c r="D135" s="67">
        <v>1085671</v>
      </c>
      <c r="E135" s="67">
        <v>0</v>
      </c>
      <c r="F135" s="67">
        <v>0</v>
      </c>
      <c r="G135" s="67">
        <v>0</v>
      </c>
      <c r="H135" s="67" t="s">
        <v>586</v>
      </c>
      <c r="I135" s="140">
        <v>0.61199999999999999</v>
      </c>
      <c r="J135" s="67" t="s">
        <v>702</v>
      </c>
      <c r="K135" s="65">
        <v>0.62792662390076637</v>
      </c>
      <c r="L135" s="65">
        <v>0.35289999999999999</v>
      </c>
      <c r="M135" s="65" t="s">
        <v>586</v>
      </c>
      <c r="N135" s="65"/>
      <c r="O135" s="65"/>
      <c r="P135" s="67"/>
      <c r="Q135" s="67"/>
      <c r="R135" s="67"/>
      <c r="S135" s="65"/>
      <c r="T135" s="66"/>
      <c r="U135" s="66"/>
      <c r="V135" s="66">
        <v>0</v>
      </c>
      <c r="W135" s="66"/>
      <c r="X135" s="67"/>
      <c r="Y135" s="67"/>
      <c r="Z135" s="67">
        <v>0</v>
      </c>
      <c r="AA135" s="67">
        <v>0</v>
      </c>
      <c r="AB135" s="66"/>
      <c r="AC135" s="65"/>
      <c r="AD135" s="66"/>
      <c r="AE135" s="65" t="s">
        <v>586</v>
      </c>
      <c r="AF135" s="65">
        <v>27</v>
      </c>
      <c r="AG135" s="65">
        <v>60.5</v>
      </c>
      <c r="AH135" s="65"/>
      <c r="AI135" s="67"/>
      <c r="AJ135" s="67"/>
      <c r="AK135" s="67"/>
      <c r="AL135" s="67"/>
      <c r="AM135" s="67"/>
      <c r="AN135" s="67">
        <v>1262989</v>
      </c>
      <c r="AO135" s="67"/>
      <c r="AP135" s="67"/>
      <c r="AQ135" s="66"/>
    </row>
    <row r="136" spans="1:43" x14ac:dyDescent="0.25">
      <c r="A136" s="16" t="s">
        <v>550</v>
      </c>
      <c r="B136" s="11" t="s">
        <v>579</v>
      </c>
      <c r="C136" s="126" t="s">
        <v>551</v>
      </c>
      <c r="D136" s="67">
        <v>929793</v>
      </c>
      <c r="E136" s="67">
        <v>0</v>
      </c>
      <c r="F136" s="67">
        <v>5893</v>
      </c>
      <c r="G136" s="67">
        <v>0</v>
      </c>
      <c r="H136" s="67" t="s">
        <v>586</v>
      </c>
      <c r="I136" s="140">
        <v>0.59499999999999997</v>
      </c>
      <c r="J136" s="67" t="s">
        <v>702</v>
      </c>
      <c r="K136" s="65">
        <v>0.62792662390076637</v>
      </c>
      <c r="L136" s="65">
        <v>0.35289999999999999</v>
      </c>
      <c r="M136" s="65" t="s">
        <v>586</v>
      </c>
      <c r="N136" s="65"/>
      <c r="O136" s="65"/>
      <c r="P136" s="67"/>
      <c r="Q136" s="67"/>
      <c r="R136" s="67"/>
      <c r="S136" s="65"/>
      <c r="T136" s="66"/>
      <c r="U136" s="66"/>
      <c r="V136" s="66">
        <v>7</v>
      </c>
      <c r="W136" s="66"/>
      <c r="X136" s="67"/>
      <c r="Y136" s="67"/>
      <c r="Z136" s="67">
        <v>0</v>
      </c>
      <c r="AA136" s="67">
        <v>22274</v>
      </c>
      <c r="AB136" s="66"/>
      <c r="AC136" s="65"/>
      <c r="AD136" s="66"/>
      <c r="AE136" s="65" t="s">
        <v>586</v>
      </c>
      <c r="AF136" s="65">
        <v>27</v>
      </c>
      <c r="AG136" s="65">
        <v>60.5</v>
      </c>
      <c r="AH136" s="65"/>
      <c r="AI136" s="67"/>
      <c r="AJ136" s="67"/>
      <c r="AK136" s="67"/>
      <c r="AL136" s="67"/>
      <c r="AM136" s="67"/>
      <c r="AN136" s="67">
        <v>1406966</v>
      </c>
      <c r="AO136" s="67"/>
      <c r="AP136" s="67"/>
      <c r="AQ136" s="66"/>
    </row>
    <row r="137" spans="1:43" x14ac:dyDescent="0.25">
      <c r="A137" s="16" t="s">
        <v>552</v>
      </c>
      <c r="B137" s="11" t="s">
        <v>579</v>
      </c>
      <c r="C137" s="126" t="s">
        <v>553</v>
      </c>
      <c r="D137" s="67">
        <v>1101027</v>
      </c>
      <c r="E137" s="67">
        <v>797392</v>
      </c>
      <c r="F137" s="67">
        <v>0</v>
      </c>
      <c r="G137" s="67">
        <v>5</v>
      </c>
      <c r="H137" s="67">
        <v>2911</v>
      </c>
      <c r="I137" s="140">
        <v>0.56299999999999994</v>
      </c>
      <c r="J137" s="67" t="s">
        <v>702</v>
      </c>
      <c r="K137" s="65">
        <v>0.62792662390076637</v>
      </c>
      <c r="L137" s="65">
        <v>0.35289999999999999</v>
      </c>
      <c r="M137" s="65" t="s">
        <v>586</v>
      </c>
      <c r="N137" s="65"/>
      <c r="O137" s="65"/>
      <c r="P137" s="67"/>
      <c r="Q137" s="67"/>
      <c r="R137" s="67"/>
      <c r="S137" s="65"/>
      <c r="T137" s="66"/>
      <c r="U137" s="66"/>
      <c r="V137" s="66">
        <v>19</v>
      </c>
      <c r="W137" s="66"/>
      <c r="X137" s="67"/>
      <c r="Y137" s="67"/>
      <c r="Z137" s="67">
        <v>834310</v>
      </c>
      <c r="AA137" s="67">
        <v>8950</v>
      </c>
      <c r="AB137" s="66"/>
      <c r="AC137" s="65"/>
      <c r="AD137" s="66"/>
      <c r="AE137" s="65" t="s">
        <v>586</v>
      </c>
      <c r="AF137" s="65">
        <v>27</v>
      </c>
      <c r="AG137" s="65">
        <v>60.5</v>
      </c>
      <c r="AH137" s="65"/>
      <c r="AI137" s="67"/>
      <c r="AJ137" s="67"/>
      <c r="AK137" s="67"/>
      <c r="AL137" s="67"/>
      <c r="AM137" s="67"/>
      <c r="AN137" s="67">
        <v>2896500</v>
      </c>
      <c r="AO137" s="67"/>
      <c r="AP137" s="67"/>
      <c r="AQ137" s="66"/>
    </row>
    <row r="138" spans="1:43" x14ac:dyDescent="0.25">
      <c r="A138" s="16" t="s">
        <v>554</v>
      </c>
      <c r="B138" s="11" t="s">
        <v>579</v>
      </c>
      <c r="C138" s="126" t="s">
        <v>555</v>
      </c>
      <c r="D138" s="67">
        <v>246680</v>
      </c>
      <c r="E138" s="67">
        <v>434228</v>
      </c>
      <c r="F138" s="67">
        <v>104294</v>
      </c>
      <c r="G138" s="67">
        <v>5</v>
      </c>
      <c r="H138" s="67">
        <v>3068</v>
      </c>
      <c r="I138" s="140">
        <v>0.53200000000000003</v>
      </c>
      <c r="J138" s="67" t="s">
        <v>702</v>
      </c>
      <c r="K138" s="65">
        <v>0.62792662390076637</v>
      </c>
      <c r="L138" s="65">
        <v>0.35289999999999999</v>
      </c>
      <c r="M138" s="65" t="s">
        <v>586</v>
      </c>
      <c r="N138" s="65"/>
      <c r="O138" s="65"/>
      <c r="P138" s="67"/>
      <c r="Q138" s="67"/>
      <c r="R138" s="67"/>
      <c r="S138" s="65"/>
      <c r="T138" s="66"/>
      <c r="U138" s="66"/>
      <c r="V138" s="66">
        <v>16</v>
      </c>
      <c r="W138" s="66"/>
      <c r="X138" s="67"/>
      <c r="Y138" s="67"/>
      <c r="Z138" s="67">
        <v>367008</v>
      </c>
      <c r="AA138" s="67">
        <v>14437</v>
      </c>
      <c r="AB138" s="66"/>
      <c r="AC138" s="65"/>
      <c r="AD138" s="66"/>
      <c r="AE138" s="65" t="s">
        <v>586</v>
      </c>
      <c r="AF138" s="65">
        <v>27</v>
      </c>
      <c r="AG138" s="65">
        <v>60.5</v>
      </c>
      <c r="AH138" s="65"/>
      <c r="AI138" s="67"/>
      <c r="AJ138" s="67"/>
      <c r="AK138" s="67"/>
      <c r="AL138" s="67"/>
      <c r="AM138" s="67"/>
      <c r="AN138" s="67">
        <v>1671193</v>
      </c>
      <c r="AO138" s="67"/>
      <c r="AP138" s="67"/>
      <c r="AQ138" s="66"/>
    </row>
    <row r="139" spans="1:43" x14ac:dyDescent="0.25">
      <c r="A139" s="16" t="s">
        <v>556</v>
      </c>
      <c r="B139" s="11" t="s">
        <v>579</v>
      </c>
      <c r="C139" s="126" t="s">
        <v>557</v>
      </c>
      <c r="D139" s="67">
        <v>147045</v>
      </c>
      <c r="E139" s="67">
        <v>145198</v>
      </c>
      <c r="F139" s="67">
        <v>0</v>
      </c>
      <c r="G139" s="67">
        <v>0</v>
      </c>
      <c r="H139" s="67">
        <v>2282</v>
      </c>
      <c r="I139" s="140">
        <v>0.52200000000000002</v>
      </c>
      <c r="J139" s="67" t="s">
        <v>702</v>
      </c>
      <c r="K139" s="65">
        <v>0.62792662390076637</v>
      </c>
      <c r="L139" s="65">
        <v>0.35289999999999999</v>
      </c>
      <c r="M139" s="65" t="s">
        <v>586</v>
      </c>
      <c r="N139" s="65"/>
      <c r="O139" s="65"/>
      <c r="P139" s="67"/>
      <c r="Q139" s="67"/>
      <c r="R139" s="67"/>
      <c r="S139" s="65"/>
      <c r="T139" s="66"/>
      <c r="U139" s="66"/>
      <c r="V139" s="66">
        <v>51</v>
      </c>
      <c r="W139" s="66"/>
      <c r="X139" s="67"/>
      <c r="Y139" s="67"/>
      <c r="Z139" s="67">
        <v>338082</v>
      </c>
      <c r="AA139" s="67">
        <v>8950</v>
      </c>
      <c r="AB139" s="66"/>
      <c r="AC139" s="65"/>
      <c r="AD139" s="66"/>
      <c r="AE139" s="65" t="s">
        <v>586</v>
      </c>
      <c r="AF139" s="65">
        <v>27</v>
      </c>
      <c r="AG139" s="65">
        <v>60.5</v>
      </c>
      <c r="AH139" s="65"/>
      <c r="AI139" s="67"/>
      <c r="AJ139" s="67"/>
      <c r="AK139" s="67"/>
      <c r="AL139" s="67"/>
      <c r="AM139" s="67"/>
      <c r="AN139" s="67">
        <v>681089</v>
      </c>
      <c r="AO139" s="67"/>
      <c r="AP139" s="67"/>
      <c r="AQ139" s="66"/>
    </row>
    <row r="140" spans="1:43" x14ac:dyDescent="0.25">
      <c r="A140" s="16" t="s">
        <v>558</v>
      </c>
      <c r="B140" s="11" t="s">
        <v>579</v>
      </c>
      <c r="C140" s="126" t="s">
        <v>559</v>
      </c>
      <c r="D140" s="67">
        <v>1249015</v>
      </c>
      <c r="E140" s="67">
        <v>0</v>
      </c>
      <c r="F140" s="67">
        <v>234792</v>
      </c>
      <c r="G140" s="67">
        <v>0</v>
      </c>
      <c r="H140" s="67">
        <v>1</v>
      </c>
      <c r="I140" s="140">
        <v>0.60099999999999998</v>
      </c>
      <c r="J140" s="67" t="s">
        <v>702</v>
      </c>
      <c r="K140" s="65">
        <v>0.62792662390076637</v>
      </c>
      <c r="L140" s="65">
        <v>0.35289999999999999</v>
      </c>
      <c r="M140" s="65" t="s">
        <v>586</v>
      </c>
      <c r="N140" s="65"/>
      <c r="O140" s="65"/>
      <c r="P140" s="67"/>
      <c r="Q140" s="67"/>
      <c r="R140" s="67"/>
      <c r="S140" s="65"/>
      <c r="T140" s="66"/>
      <c r="U140" s="66"/>
      <c r="V140" s="66">
        <v>4</v>
      </c>
      <c r="W140" s="66"/>
      <c r="X140" s="67"/>
      <c r="Y140" s="67"/>
      <c r="Z140" s="66">
        <v>0</v>
      </c>
      <c r="AA140" s="67">
        <v>45004</v>
      </c>
      <c r="AB140" s="66"/>
      <c r="AC140" s="65"/>
      <c r="AD140" s="66"/>
      <c r="AE140" s="65" t="s">
        <v>586</v>
      </c>
      <c r="AF140" s="65">
        <v>27</v>
      </c>
      <c r="AG140" s="65">
        <v>60.5</v>
      </c>
      <c r="AH140" s="65"/>
      <c r="AI140" s="67"/>
      <c r="AJ140" s="67"/>
      <c r="AK140" s="67"/>
      <c r="AL140" s="67"/>
      <c r="AM140" s="67"/>
      <c r="AN140" s="67">
        <v>1692547</v>
      </c>
      <c r="AO140" s="67"/>
      <c r="AP140" s="67"/>
      <c r="AQ140" s="66"/>
    </row>
    <row r="141" spans="1:43" x14ac:dyDescent="0.25">
      <c r="A141" s="16" t="s">
        <v>561</v>
      </c>
      <c r="B141" s="11" t="s">
        <v>581</v>
      </c>
      <c r="C141" s="126" t="s">
        <v>607</v>
      </c>
      <c r="D141" s="67">
        <v>570294</v>
      </c>
      <c r="E141" s="67">
        <v>0</v>
      </c>
      <c r="F141" s="67">
        <v>643233</v>
      </c>
      <c r="G141" s="67">
        <v>3</v>
      </c>
      <c r="H141" s="67">
        <v>6</v>
      </c>
      <c r="I141" s="140">
        <v>0.48399999999999999</v>
      </c>
      <c r="J141" s="140">
        <v>0.29980420000000002</v>
      </c>
      <c r="K141" s="65">
        <v>0.52855523463787235</v>
      </c>
      <c r="L141" s="65">
        <v>0.3</v>
      </c>
      <c r="M141" s="65">
        <v>0.1623916</v>
      </c>
      <c r="N141" s="65"/>
      <c r="O141" s="65"/>
      <c r="P141" s="67"/>
      <c r="Q141" s="67"/>
      <c r="R141" s="67"/>
      <c r="S141" s="65"/>
      <c r="T141" s="66"/>
      <c r="U141" s="66"/>
      <c r="V141" s="66">
        <v>0</v>
      </c>
      <c r="W141" s="66"/>
      <c r="X141" s="67"/>
      <c r="Y141" s="67"/>
      <c r="Z141" s="66"/>
      <c r="AA141" s="67">
        <v>0</v>
      </c>
      <c r="AB141" s="66"/>
      <c r="AC141" s="65"/>
      <c r="AD141" s="66"/>
      <c r="AE141" s="65">
        <v>21.299999999999997</v>
      </c>
      <c r="AF141" s="65">
        <v>40.4</v>
      </c>
      <c r="AG141" s="65">
        <v>27</v>
      </c>
      <c r="AH141" s="65"/>
      <c r="AI141" s="67"/>
      <c r="AJ141" s="67"/>
      <c r="AK141" s="67"/>
      <c r="AL141" s="67"/>
      <c r="AM141" s="67"/>
      <c r="AN141" s="67">
        <v>3988911</v>
      </c>
      <c r="AO141" s="67"/>
      <c r="AP141" s="67"/>
      <c r="AQ141" s="66"/>
    </row>
    <row r="142" spans="1:43" x14ac:dyDescent="0.25">
      <c r="A142" s="16" t="s">
        <v>562</v>
      </c>
      <c r="B142" s="11" t="s">
        <v>581</v>
      </c>
      <c r="C142" s="126" t="s">
        <v>608</v>
      </c>
      <c r="D142" s="67">
        <v>1114554</v>
      </c>
      <c r="E142" s="67">
        <v>0</v>
      </c>
      <c r="F142" s="67">
        <v>2206566</v>
      </c>
      <c r="G142" s="67">
        <v>3</v>
      </c>
      <c r="H142" s="67">
        <v>6</v>
      </c>
      <c r="I142" s="140">
        <v>0.48399999999999999</v>
      </c>
      <c r="J142" s="140">
        <v>0.29429759999999999</v>
      </c>
      <c r="K142" s="65">
        <v>0.52855523463787235</v>
      </c>
      <c r="L142" s="65">
        <v>0.34</v>
      </c>
      <c r="M142" s="65">
        <v>0.17358970000000001</v>
      </c>
      <c r="N142" s="65"/>
      <c r="O142" s="65"/>
      <c r="P142" s="67"/>
      <c r="Q142" s="67"/>
      <c r="R142" s="67"/>
      <c r="S142" s="65"/>
      <c r="T142" s="66"/>
      <c r="U142" s="66"/>
      <c r="V142" s="66">
        <v>0</v>
      </c>
      <c r="W142" s="66"/>
      <c r="X142" s="67"/>
      <c r="Y142" s="67"/>
      <c r="Z142" s="66"/>
      <c r="AA142" s="67">
        <v>0</v>
      </c>
      <c r="AB142" s="66"/>
      <c r="AC142" s="65"/>
      <c r="AD142" s="66"/>
      <c r="AE142" s="65">
        <v>11.5</v>
      </c>
      <c r="AF142" s="65">
        <v>22.9</v>
      </c>
      <c r="AG142" s="65">
        <v>36.4</v>
      </c>
      <c r="AH142" s="65"/>
      <c r="AI142" s="67"/>
      <c r="AJ142" s="67"/>
      <c r="AK142" s="67"/>
      <c r="AL142" s="67"/>
      <c r="AM142" s="67"/>
      <c r="AN142" s="67">
        <v>3744763</v>
      </c>
      <c r="AO142" s="67"/>
      <c r="AP142" s="67"/>
      <c r="AQ142" s="66"/>
    </row>
    <row r="143" spans="1:43" x14ac:dyDescent="0.25">
      <c r="A143" s="16" t="s">
        <v>563</v>
      </c>
      <c r="B143" s="11" t="s">
        <v>581</v>
      </c>
      <c r="C143" s="126" t="s">
        <v>609</v>
      </c>
      <c r="D143" s="67">
        <v>1544926</v>
      </c>
      <c r="E143" s="67">
        <v>0</v>
      </c>
      <c r="F143" s="67">
        <v>109509</v>
      </c>
      <c r="G143" s="67">
        <v>3</v>
      </c>
      <c r="H143" s="67">
        <v>3</v>
      </c>
      <c r="I143" s="140">
        <v>0.48399999999999999</v>
      </c>
      <c r="J143" s="140">
        <v>0.37084810000000001</v>
      </c>
      <c r="K143" s="65">
        <v>0.52855523463787235</v>
      </c>
      <c r="L143" s="65">
        <v>0.31</v>
      </c>
      <c r="M143" s="65">
        <v>0.15907859999999999</v>
      </c>
      <c r="N143" s="65"/>
      <c r="O143" s="65"/>
      <c r="P143" s="67"/>
      <c r="Q143" s="67"/>
      <c r="R143" s="67"/>
      <c r="S143" s="65"/>
      <c r="T143" s="66"/>
      <c r="U143" s="66"/>
      <c r="V143" s="66">
        <v>0</v>
      </c>
      <c r="W143" s="66"/>
      <c r="X143" s="67"/>
      <c r="Y143" s="67"/>
      <c r="Z143" s="66"/>
      <c r="AA143" s="67">
        <v>0</v>
      </c>
      <c r="AB143" s="66"/>
      <c r="AC143" s="65"/>
      <c r="AD143" s="66"/>
      <c r="AE143" s="65">
        <v>6.7000000000000028</v>
      </c>
      <c r="AF143" s="65">
        <v>26.9</v>
      </c>
      <c r="AG143" s="65">
        <v>53.4</v>
      </c>
      <c r="AH143" s="65"/>
      <c r="AI143" s="67"/>
      <c r="AJ143" s="67"/>
      <c r="AK143" s="67"/>
      <c r="AL143" s="67"/>
      <c r="AM143" s="67"/>
      <c r="AN143" s="67">
        <v>3969396</v>
      </c>
      <c r="AO143" s="67"/>
      <c r="AP143" s="67"/>
      <c r="AQ143" s="66"/>
    </row>
    <row r="144" spans="1:43" x14ac:dyDescent="0.25">
      <c r="A144" s="16" t="s">
        <v>564</v>
      </c>
      <c r="B144" s="11" t="s">
        <v>581</v>
      </c>
      <c r="C144" s="126" t="s">
        <v>610</v>
      </c>
      <c r="D144" s="67">
        <v>1084279</v>
      </c>
      <c r="E144" s="67">
        <v>6</v>
      </c>
      <c r="F144" s="67">
        <v>2541783</v>
      </c>
      <c r="G144" s="67">
        <v>3</v>
      </c>
      <c r="H144" s="67">
        <v>8</v>
      </c>
      <c r="I144" s="140">
        <v>0.48399999999999999</v>
      </c>
      <c r="J144" s="140">
        <v>0.41739270000000001</v>
      </c>
      <c r="K144" s="65">
        <v>0.52855523463787235</v>
      </c>
      <c r="L144" s="65">
        <v>0.35</v>
      </c>
      <c r="M144" s="65">
        <v>0.1767966</v>
      </c>
      <c r="N144" s="65"/>
      <c r="O144" s="65"/>
      <c r="P144" s="67"/>
      <c r="Q144" s="67"/>
      <c r="R144" s="67"/>
      <c r="S144" s="65"/>
      <c r="T144" s="66"/>
      <c r="U144" s="66"/>
      <c r="V144" s="66">
        <v>0</v>
      </c>
      <c r="W144" s="66"/>
      <c r="X144" s="67"/>
      <c r="Y144" s="67"/>
      <c r="Z144" s="66"/>
      <c r="AA144" s="67">
        <v>0</v>
      </c>
      <c r="AB144" s="66"/>
      <c r="AC144" s="65"/>
      <c r="AD144" s="66"/>
      <c r="AE144" s="65">
        <v>1.7999999999999972</v>
      </c>
      <c r="AF144" s="65">
        <v>19.3</v>
      </c>
      <c r="AG144" s="65">
        <v>45.4</v>
      </c>
      <c r="AH144" s="65"/>
      <c r="AI144" s="67"/>
      <c r="AJ144" s="67"/>
      <c r="AK144" s="67"/>
      <c r="AL144" s="67"/>
      <c r="AM144" s="67"/>
      <c r="AN144" s="67">
        <v>4922626</v>
      </c>
      <c r="AO144" s="67"/>
      <c r="AP144" s="67"/>
      <c r="AQ144" s="66"/>
    </row>
    <row r="145" spans="1:43" x14ac:dyDescent="0.25">
      <c r="A145" s="16" t="s">
        <v>565</v>
      </c>
      <c r="B145" s="11" t="s">
        <v>581</v>
      </c>
      <c r="C145" s="126" t="s">
        <v>611</v>
      </c>
      <c r="D145" s="67">
        <v>599812</v>
      </c>
      <c r="E145" s="67">
        <v>0</v>
      </c>
      <c r="F145" s="67">
        <v>0</v>
      </c>
      <c r="G145" s="67">
        <v>3</v>
      </c>
      <c r="H145" s="67">
        <v>13</v>
      </c>
      <c r="I145" s="140">
        <v>0.48399999999999999</v>
      </c>
      <c r="J145" s="140">
        <v>7.6076400000000002E-2</v>
      </c>
      <c r="K145" s="65">
        <v>0.52855523463787235</v>
      </c>
      <c r="L145" s="65">
        <v>0.12</v>
      </c>
      <c r="M145" s="65">
        <v>6.2266799999999997E-2</v>
      </c>
      <c r="N145" s="65"/>
      <c r="O145" s="65"/>
      <c r="P145" s="67"/>
      <c r="Q145" s="67"/>
      <c r="R145" s="67"/>
      <c r="S145" s="65"/>
      <c r="T145" s="66"/>
      <c r="U145" s="66"/>
      <c r="V145" s="66">
        <v>0</v>
      </c>
      <c r="W145" s="66"/>
      <c r="X145" s="67"/>
      <c r="Y145" s="67"/>
      <c r="Z145" s="66"/>
      <c r="AA145" s="67">
        <v>61922</v>
      </c>
      <c r="AB145" s="66"/>
      <c r="AC145" s="65"/>
      <c r="AD145" s="66"/>
      <c r="AE145" s="65">
        <v>84.9</v>
      </c>
      <c r="AF145" s="65">
        <v>27.3</v>
      </c>
      <c r="AG145" s="65">
        <v>91.8</v>
      </c>
      <c r="AH145" s="65"/>
      <c r="AI145" s="67"/>
      <c r="AJ145" s="67"/>
      <c r="AK145" s="67"/>
      <c r="AL145" s="67"/>
      <c r="AM145" s="67"/>
      <c r="AN145" s="67">
        <v>1693456</v>
      </c>
      <c r="AO145" s="67"/>
      <c r="AP145" s="67"/>
      <c r="AQ145" s="66"/>
    </row>
    <row r="146" spans="1:43" x14ac:dyDescent="0.25">
      <c r="A146" s="16" t="s">
        <v>566</v>
      </c>
      <c r="B146" s="11" t="s">
        <v>581</v>
      </c>
      <c r="C146" s="126" t="s">
        <v>612</v>
      </c>
      <c r="D146" s="67">
        <v>97650</v>
      </c>
      <c r="E146" s="67">
        <v>560034</v>
      </c>
      <c r="F146" s="67">
        <v>483166</v>
      </c>
      <c r="G146" s="67">
        <v>0</v>
      </c>
      <c r="H146" s="67">
        <v>3</v>
      </c>
      <c r="I146" s="140">
        <v>0.48399999999999999</v>
      </c>
      <c r="J146" s="140">
        <v>0.63412780000000002</v>
      </c>
      <c r="K146" s="65">
        <v>0.52855523463787235</v>
      </c>
      <c r="L146" s="65">
        <v>0.56000000000000005</v>
      </c>
      <c r="M146" s="65">
        <v>0.23640630000000001</v>
      </c>
      <c r="N146" s="65"/>
      <c r="O146" s="65"/>
      <c r="P146" s="67"/>
      <c r="Q146" s="67"/>
      <c r="R146" s="67"/>
      <c r="S146" s="65"/>
      <c r="T146" s="66"/>
      <c r="U146" s="66"/>
      <c r="V146" s="66">
        <v>8</v>
      </c>
      <c r="W146" s="66"/>
      <c r="X146" s="67"/>
      <c r="Y146" s="67"/>
      <c r="Z146" s="66"/>
      <c r="AA146" s="67">
        <v>0</v>
      </c>
      <c r="AB146" s="66"/>
      <c r="AC146" s="65"/>
      <c r="AD146" s="66"/>
      <c r="AE146" s="65">
        <v>1.2000000000000028</v>
      </c>
      <c r="AF146" s="65">
        <v>0.4</v>
      </c>
      <c r="AG146" s="65">
        <v>44.6</v>
      </c>
      <c r="AH146" s="65"/>
      <c r="AI146" s="67"/>
      <c r="AJ146" s="67"/>
      <c r="AK146" s="67"/>
      <c r="AL146" s="67"/>
      <c r="AM146" s="67"/>
      <c r="AN146" s="67">
        <v>1039889</v>
      </c>
      <c r="AO146" s="67"/>
      <c r="AP146" s="67"/>
      <c r="AQ146" s="66"/>
    </row>
    <row r="147" spans="1:43" x14ac:dyDescent="0.25">
      <c r="A147" s="16" t="s">
        <v>567</v>
      </c>
      <c r="B147" s="11" t="s">
        <v>581</v>
      </c>
      <c r="C147" s="126" t="s">
        <v>613</v>
      </c>
      <c r="D147" s="67">
        <v>820433</v>
      </c>
      <c r="E147" s="67">
        <v>4316</v>
      </c>
      <c r="F147" s="67">
        <v>3332968</v>
      </c>
      <c r="G147" s="67">
        <v>0</v>
      </c>
      <c r="H147" s="67">
        <v>0</v>
      </c>
      <c r="I147" s="140">
        <v>0.48399999999999999</v>
      </c>
      <c r="J147" s="140">
        <v>0.43067559999999999</v>
      </c>
      <c r="K147" s="65">
        <v>0.52855523463787235</v>
      </c>
      <c r="L147" s="65">
        <v>0.34</v>
      </c>
      <c r="M147" s="65">
        <v>0.1936542</v>
      </c>
      <c r="N147" s="65"/>
      <c r="O147" s="65"/>
      <c r="P147" s="67"/>
      <c r="Q147" s="67"/>
      <c r="R147" s="67"/>
      <c r="S147" s="65"/>
      <c r="T147" s="66"/>
      <c r="U147" s="66"/>
      <c r="V147" s="66">
        <v>0</v>
      </c>
      <c r="W147" s="66"/>
      <c r="X147" s="67"/>
      <c r="Y147" s="67"/>
      <c r="Z147" s="66"/>
      <c r="AA147" s="67">
        <v>114343</v>
      </c>
      <c r="AB147" s="66"/>
      <c r="AC147" s="65"/>
      <c r="AD147" s="66"/>
      <c r="AE147" s="65">
        <v>2</v>
      </c>
      <c r="AF147" s="65">
        <v>2.7</v>
      </c>
      <c r="AG147" s="65">
        <v>44.1</v>
      </c>
      <c r="AH147" s="65"/>
      <c r="AI147" s="67"/>
      <c r="AJ147" s="67"/>
      <c r="AK147" s="67"/>
      <c r="AL147" s="67"/>
      <c r="AM147" s="67"/>
      <c r="AN147" s="67">
        <v>3613325</v>
      </c>
      <c r="AO147" s="67"/>
      <c r="AP147" s="67"/>
      <c r="AQ147" s="66"/>
    </row>
    <row r="148" spans="1:43" x14ac:dyDescent="0.25">
      <c r="A148" s="16" t="s">
        <v>568</v>
      </c>
      <c r="B148" s="11" t="s">
        <v>581</v>
      </c>
      <c r="C148" s="126" t="s">
        <v>614</v>
      </c>
      <c r="D148" s="67">
        <v>755347</v>
      </c>
      <c r="E148" s="67">
        <v>0</v>
      </c>
      <c r="F148" s="67">
        <v>2566018</v>
      </c>
      <c r="G148" s="67">
        <v>3</v>
      </c>
      <c r="H148" s="67">
        <v>9</v>
      </c>
      <c r="I148" s="140">
        <v>0.48399999999999999</v>
      </c>
      <c r="J148" s="140">
        <v>0.400142</v>
      </c>
      <c r="K148" s="65">
        <v>0.52855523463787235</v>
      </c>
      <c r="L148" s="65">
        <v>0.28000000000000003</v>
      </c>
      <c r="M148" s="65">
        <v>0.19859640000000001</v>
      </c>
      <c r="N148" s="65"/>
      <c r="O148" s="65"/>
      <c r="P148" s="67"/>
      <c r="Q148" s="67"/>
      <c r="R148" s="67"/>
      <c r="S148" s="65"/>
      <c r="T148" s="66"/>
      <c r="U148" s="66"/>
      <c r="V148" s="66">
        <v>0</v>
      </c>
      <c r="W148" s="66"/>
      <c r="X148" s="67"/>
      <c r="Y148" s="67"/>
      <c r="Z148" s="66"/>
      <c r="AA148" s="67">
        <v>0</v>
      </c>
      <c r="AB148" s="66"/>
      <c r="AC148" s="65"/>
      <c r="AD148" s="66"/>
      <c r="AE148" s="65">
        <v>7.5</v>
      </c>
      <c r="AF148" s="65">
        <v>8.1999999999999993</v>
      </c>
      <c r="AG148" s="65">
        <v>33.4</v>
      </c>
      <c r="AH148" s="65"/>
      <c r="AI148" s="67"/>
      <c r="AJ148" s="67"/>
      <c r="AK148" s="67"/>
      <c r="AL148" s="67"/>
      <c r="AM148" s="67"/>
      <c r="AN148" s="67">
        <v>4808969</v>
      </c>
      <c r="AO148" s="67"/>
      <c r="AP148" s="67"/>
      <c r="AQ148" s="66"/>
    </row>
    <row r="149" spans="1:43" x14ac:dyDescent="0.25">
      <c r="A149" s="16" t="s">
        <v>569</v>
      </c>
      <c r="B149" s="11" t="s">
        <v>581</v>
      </c>
      <c r="C149" s="126" t="s">
        <v>615</v>
      </c>
      <c r="D149" s="67">
        <v>424327</v>
      </c>
      <c r="E149" s="67">
        <v>0</v>
      </c>
      <c r="F149" s="67">
        <v>5430</v>
      </c>
      <c r="G149" s="67">
        <v>0</v>
      </c>
      <c r="H149" s="67">
        <v>12</v>
      </c>
      <c r="I149" s="140">
        <v>0.48399999999999999</v>
      </c>
      <c r="J149" s="140">
        <v>0.4840506</v>
      </c>
      <c r="K149" s="65">
        <v>0.52855523463787235</v>
      </c>
      <c r="L149" s="65">
        <v>0.31</v>
      </c>
      <c r="M149" s="65">
        <v>0.2122308</v>
      </c>
      <c r="N149" s="65"/>
      <c r="O149" s="65"/>
      <c r="P149" s="67"/>
      <c r="Q149" s="67"/>
      <c r="R149" s="67"/>
      <c r="S149" s="65"/>
      <c r="T149" s="66"/>
      <c r="U149" s="66"/>
      <c r="V149" s="66">
        <v>0</v>
      </c>
      <c r="W149" s="66"/>
      <c r="X149" s="67"/>
      <c r="Y149" s="67"/>
      <c r="Z149" s="66"/>
      <c r="AA149" s="67">
        <v>0</v>
      </c>
      <c r="AB149" s="66"/>
      <c r="AC149" s="65"/>
      <c r="AD149" s="66"/>
      <c r="AE149" s="65">
        <v>2.2999999999999972</v>
      </c>
      <c r="AF149" s="65">
        <v>3.7</v>
      </c>
      <c r="AG149" s="65">
        <v>43.1</v>
      </c>
      <c r="AH149" s="65"/>
      <c r="AI149" s="67"/>
      <c r="AJ149" s="67"/>
      <c r="AK149" s="67"/>
      <c r="AL149" s="67"/>
      <c r="AM149" s="67"/>
      <c r="AN149" s="67">
        <v>2725587</v>
      </c>
      <c r="AO149" s="67"/>
      <c r="AP149" s="67"/>
      <c r="AQ149" s="66"/>
    </row>
    <row r="150" spans="1:43" x14ac:dyDescent="0.25">
      <c r="A150" s="16" t="s">
        <v>570</v>
      </c>
      <c r="B150" s="11" t="s">
        <v>581</v>
      </c>
      <c r="C150" s="126" t="s">
        <v>616</v>
      </c>
      <c r="D150" s="67">
        <v>457020</v>
      </c>
      <c r="E150" s="67">
        <v>0</v>
      </c>
      <c r="F150" s="67">
        <v>1502016</v>
      </c>
      <c r="G150" s="67">
        <v>3</v>
      </c>
      <c r="H150" s="67">
        <v>164</v>
      </c>
      <c r="I150" s="140">
        <v>0.48399999999999999</v>
      </c>
      <c r="J150" s="140">
        <v>0.3455974</v>
      </c>
      <c r="K150" s="65">
        <v>0.52855523463787235</v>
      </c>
      <c r="L150" s="65">
        <v>0.35</v>
      </c>
      <c r="M150" s="65">
        <v>0.13907800000000001</v>
      </c>
      <c r="N150" s="65"/>
      <c r="O150" s="65"/>
      <c r="P150" s="67"/>
      <c r="Q150" s="67"/>
      <c r="R150" s="67"/>
      <c r="S150" s="65"/>
      <c r="T150" s="66"/>
      <c r="U150" s="66"/>
      <c r="V150" s="66">
        <v>0</v>
      </c>
      <c r="W150" s="66"/>
      <c r="X150" s="67"/>
      <c r="Y150" s="67"/>
      <c r="Z150" s="66"/>
      <c r="AA150" s="67">
        <v>229328</v>
      </c>
      <c r="AB150" s="66"/>
      <c r="AC150" s="65"/>
      <c r="AD150" s="66"/>
      <c r="AE150" s="65">
        <v>7.9000000000000057</v>
      </c>
      <c r="AF150" s="65">
        <v>27.5</v>
      </c>
      <c r="AG150" s="65">
        <v>40.700000000000003</v>
      </c>
      <c r="AH150" s="65"/>
      <c r="AI150" s="67"/>
      <c r="AJ150" s="67"/>
      <c r="AK150" s="67"/>
      <c r="AL150" s="67"/>
      <c r="AM150" s="67"/>
      <c r="AN150" s="67">
        <v>4224030</v>
      </c>
      <c r="AO150" s="67"/>
      <c r="AP150" s="67"/>
      <c r="AQ150" s="66"/>
    </row>
    <row r="151" spans="1:43" x14ac:dyDescent="0.25">
      <c r="A151" s="16"/>
      <c r="B151"/>
      <c r="C151" s="16"/>
      <c r="D151" s="67"/>
      <c r="E151" s="67"/>
      <c r="F151" s="67"/>
      <c r="G151" s="67"/>
      <c r="H151" s="67"/>
      <c r="I151" s="140"/>
      <c r="J151" s="65"/>
      <c r="K151" s="65"/>
      <c r="L151" s="65"/>
      <c r="M151" s="65"/>
      <c r="N151" s="65"/>
      <c r="O151" s="65"/>
      <c r="P151" s="67"/>
      <c r="Q151" s="67"/>
      <c r="R151" s="67"/>
      <c r="S151" s="65"/>
      <c r="T151" s="66"/>
      <c r="U151" s="66"/>
      <c r="V151" s="66"/>
      <c r="W151" s="66"/>
      <c r="X151" s="67"/>
      <c r="Y151" s="67"/>
      <c r="Z151" s="66"/>
      <c r="AA151" s="67"/>
      <c r="AB151" s="66"/>
      <c r="AC151" s="65"/>
      <c r="AD151" s="66"/>
      <c r="AE151" s="65"/>
      <c r="AF151" s="65"/>
      <c r="AG151" s="65"/>
      <c r="AH151" s="65"/>
      <c r="AI151" s="67"/>
      <c r="AJ151" s="67"/>
      <c r="AK151" s="67"/>
      <c r="AL151" s="67"/>
      <c r="AM151" s="67"/>
      <c r="AN151" s="67"/>
      <c r="AO151" s="67"/>
      <c r="AP151" s="67"/>
      <c r="AQ151" s="66"/>
    </row>
    <row r="152" spans="1:43" x14ac:dyDescent="0.25">
      <c r="A152" s="16"/>
      <c r="B152"/>
      <c r="C152" s="16"/>
      <c r="D152" s="67"/>
      <c r="E152" s="67"/>
      <c r="F152" s="67"/>
      <c r="G152" s="67"/>
      <c r="H152" s="67"/>
      <c r="I152" s="140"/>
      <c r="J152" s="65"/>
      <c r="K152" s="65"/>
      <c r="L152" s="65"/>
      <c r="M152" s="65"/>
      <c r="N152" s="65"/>
      <c r="O152" s="65"/>
      <c r="P152" s="67"/>
      <c r="Q152" s="67"/>
      <c r="R152" s="67"/>
      <c r="S152" s="65"/>
      <c r="T152" s="66"/>
      <c r="U152" s="66"/>
      <c r="V152" s="66"/>
      <c r="W152" s="66"/>
      <c r="X152" s="67"/>
      <c r="Y152" s="67"/>
      <c r="Z152" s="66"/>
      <c r="AA152" s="67"/>
      <c r="AB152" s="66"/>
      <c r="AC152" s="65"/>
      <c r="AD152" s="66"/>
      <c r="AE152" s="65"/>
      <c r="AF152" s="65"/>
      <c r="AG152" s="65"/>
      <c r="AH152" s="65"/>
      <c r="AI152" s="67"/>
      <c r="AJ152" s="67"/>
      <c r="AK152" s="67"/>
      <c r="AL152" s="67"/>
      <c r="AM152" s="67"/>
      <c r="AN152" s="67"/>
      <c r="AO152" s="67"/>
      <c r="AP152" s="67"/>
      <c r="AQ152" s="66"/>
    </row>
    <row r="153" spans="1:43" x14ac:dyDescent="0.25">
      <c r="A153" s="16"/>
      <c r="B153"/>
      <c r="C153" s="16"/>
      <c r="D153" s="67"/>
      <c r="E153" s="67"/>
      <c r="F153" s="67"/>
      <c r="G153" s="67"/>
      <c r="H153" s="67"/>
      <c r="I153" s="140"/>
      <c r="J153" s="65"/>
      <c r="K153" s="65"/>
      <c r="L153" s="65"/>
      <c r="M153" s="65"/>
      <c r="N153" s="65"/>
      <c r="O153" s="65"/>
      <c r="P153" s="67"/>
      <c r="Q153" s="67"/>
      <c r="R153" s="67"/>
      <c r="S153" s="65"/>
      <c r="T153" s="66"/>
      <c r="U153" s="66"/>
      <c r="V153" s="66"/>
      <c r="W153" s="66"/>
      <c r="X153" s="67"/>
      <c r="Y153" s="67"/>
      <c r="Z153" s="66"/>
      <c r="AA153" s="67"/>
      <c r="AB153" s="66"/>
      <c r="AC153" s="65"/>
      <c r="AD153" s="66"/>
      <c r="AE153" s="65"/>
      <c r="AF153" s="65"/>
      <c r="AG153" s="65"/>
      <c r="AH153" s="65"/>
      <c r="AI153" s="67"/>
      <c r="AJ153" s="67"/>
      <c r="AK153" s="67"/>
      <c r="AL153" s="67"/>
      <c r="AM153" s="67"/>
      <c r="AN153" s="67"/>
      <c r="AO153" s="67"/>
      <c r="AP153" s="67"/>
      <c r="AQ153" s="66"/>
    </row>
    <row r="154" spans="1:43" x14ac:dyDescent="0.25">
      <c r="A154" s="16"/>
      <c r="B154"/>
      <c r="C154" s="16"/>
      <c r="D154" s="67"/>
      <c r="E154" s="67"/>
      <c r="F154" s="67"/>
      <c r="G154" s="67"/>
      <c r="H154" s="67"/>
      <c r="I154" s="140"/>
      <c r="J154" s="65"/>
      <c r="K154" s="65"/>
      <c r="L154" s="65"/>
      <c r="M154" s="65"/>
      <c r="N154" s="65"/>
      <c r="O154" s="65"/>
      <c r="P154" s="67"/>
      <c r="Q154" s="67"/>
      <c r="R154" s="67"/>
      <c r="S154" s="65"/>
      <c r="T154" s="66"/>
      <c r="U154" s="66"/>
      <c r="V154" s="66"/>
      <c r="W154" s="66"/>
      <c r="X154" s="67"/>
      <c r="Y154" s="67"/>
      <c r="Z154" s="66"/>
      <c r="AA154" s="67"/>
      <c r="AB154" s="66"/>
      <c r="AC154" s="65"/>
      <c r="AD154" s="66"/>
      <c r="AE154" s="65"/>
      <c r="AF154" s="65"/>
      <c r="AG154" s="65"/>
      <c r="AH154" s="65"/>
      <c r="AI154" s="67"/>
      <c r="AJ154" s="67"/>
      <c r="AK154" s="67"/>
      <c r="AL154" s="67"/>
      <c r="AM154" s="67"/>
      <c r="AN154" s="67"/>
      <c r="AO154" s="67"/>
      <c r="AP154" s="67"/>
      <c r="AQ154" s="66"/>
    </row>
    <row r="155" spans="1:43" x14ac:dyDescent="0.25">
      <c r="A155" s="16"/>
      <c r="B155"/>
      <c r="C155" s="16"/>
      <c r="D155" s="67"/>
      <c r="E155" s="67"/>
      <c r="F155" s="67"/>
      <c r="G155" s="67"/>
      <c r="H155" s="67"/>
      <c r="I155" s="67"/>
      <c r="J155" s="65"/>
      <c r="K155" s="65"/>
      <c r="L155" s="65"/>
      <c r="M155" s="65"/>
      <c r="N155" s="65"/>
      <c r="O155" s="65"/>
      <c r="P155" s="67"/>
      <c r="Q155" s="67"/>
      <c r="R155" s="67"/>
      <c r="S155" s="65"/>
      <c r="T155" s="66"/>
      <c r="U155" s="66"/>
      <c r="V155" s="66"/>
      <c r="W155" s="66"/>
      <c r="X155" s="67"/>
      <c r="Y155" s="67"/>
      <c r="Z155" s="66"/>
      <c r="AA155" s="67"/>
      <c r="AB155" s="66"/>
      <c r="AC155" s="65"/>
      <c r="AD155" s="66"/>
      <c r="AE155" s="65"/>
      <c r="AF155" s="65"/>
      <c r="AG155" s="65"/>
      <c r="AH155" s="65"/>
      <c r="AI155" s="67"/>
      <c r="AJ155" s="67"/>
      <c r="AK155" s="67"/>
      <c r="AL155" s="67"/>
      <c r="AM155" s="67"/>
      <c r="AN155" s="67"/>
      <c r="AO155" s="67"/>
      <c r="AP155" s="67"/>
      <c r="AQ155" s="66"/>
    </row>
    <row r="156" spans="1:43" x14ac:dyDescent="0.25">
      <c r="A156" s="16"/>
      <c r="B156"/>
      <c r="C156" s="16"/>
      <c r="D156" s="67"/>
      <c r="E156" s="67"/>
      <c r="F156" s="67"/>
      <c r="G156" s="67"/>
      <c r="H156" s="67"/>
      <c r="I156" s="67"/>
      <c r="J156" s="65"/>
      <c r="K156" s="65"/>
      <c r="L156" s="65"/>
      <c r="M156" s="65"/>
      <c r="N156" s="65"/>
      <c r="O156" s="65"/>
      <c r="P156" s="67"/>
      <c r="Q156" s="67"/>
      <c r="R156" s="67"/>
      <c r="S156" s="65"/>
      <c r="T156" s="66"/>
      <c r="U156" s="66"/>
      <c r="V156" s="66"/>
      <c r="W156" s="66"/>
      <c r="X156" s="67"/>
      <c r="Y156" s="67"/>
      <c r="Z156" s="66"/>
      <c r="AA156" s="67"/>
      <c r="AB156" s="66"/>
      <c r="AC156" s="65"/>
      <c r="AD156" s="66"/>
      <c r="AE156" s="65"/>
      <c r="AF156" s="65"/>
      <c r="AG156" s="65"/>
      <c r="AH156" s="65"/>
      <c r="AI156" s="67"/>
      <c r="AJ156" s="67"/>
      <c r="AK156" s="67"/>
      <c r="AL156" s="67"/>
      <c r="AM156" s="67"/>
      <c r="AN156" s="67"/>
      <c r="AO156" s="67"/>
      <c r="AP156" s="67"/>
      <c r="AQ156" s="66"/>
    </row>
    <row r="157" spans="1:43" x14ac:dyDescent="0.25">
      <c r="A157" s="16"/>
      <c r="B157"/>
      <c r="C157" s="16"/>
      <c r="D157" s="67"/>
      <c r="E157" s="67"/>
      <c r="F157" s="67"/>
      <c r="G157" s="67"/>
      <c r="H157" s="67"/>
      <c r="I157" s="67"/>
      <c r="J157" s="65"/>
      <c r="K157" s="65"/>
      <c r="L157" s="65"/>
      <c r="M157" s="65"/>
      <c r="N157" s="65"/>
      <c r="O157" s="65"/>
      <c r="P157" s="67"/>
      <c r="Q157" s="67"/>
      <c r="R157" s="67"/>
      <c r="S157" s="65"/>
      <c r="T157" s="66"/>
      <c r="U157" s="66"/>
      <c r="V157" s="66"/>
      <c r="W157" s="66"/>
      <c r="X157" s="67"/>
      <c r="Y157" s="67"/>
      <c r="Z157" s="66"/>
      <c r="AA157" s="67"/>
      <c r="AB157" s="66"/>
      <c r="AC157" s="65"/>
      <c r="AD157" s="66"/>
      <c r="AE157" s="65"/>
      <c r="AF157" s="65"/>
      <c r="AG157" s="65"/>
      <c r="AH157" s="65"/>
      <c r="AI157" s="67"/>
      <c r="AJ157" s="67"/>
      <c r="AK157" s="67"/>
      <c r="AL157" s="67"/>
      <c r="AM157" s="67"/>
      <c r="AN157" s="67"/>
      <c r="AO157" s="67"/>
      <c r="AP157" s="67"/>
      <c r="AQ157" s="66"/>
    </row>
    <row r="158" spans="1:43" x14ac:dyDescent="0.25">
      <c r="A158" s="16"/>
      <c r="B158"/>
      <c r="C158" s="16"/>
      <c r="D158" s="67"/>
      <c r="E158" s="67"/>
      <c r="F158" s="67"/>
      <c r="G158" s="67"/>
      <c r="H158" s="67"/>
      <c r="I158" s="67"/>
      <c r="J158" s="65"/>
      <c r="K158" s="65"/>
      <c r="L158" s="65"/>
      <c r="M158" s="65"/>
      <c r="N158" s="65"/>
      <c r="O158" s="65"/>
      <c r="P158" s="67"/>
      <c r="Q158" s="67"/>
      <c r="R158" s="67"/>
      <c r="S158" s="65"/>
      <c r="T158" s="66"/>
      <c r="U158" s="66"/>
      <c r="V158" s="66"/>
      <c r="W158" s="66"/>
      <c r="X158" s="67"/>
      <c r="Y158" s="67"/>
      <c r="Z158" s="66"/>
      <c r="AA158" s="67"/>
      <c r="AB158" s="66"/>
      <c r="AC158" s="65"/>
      <c r="AD158" s="66"/>
      <c r="AE158" s="65"/>
      <c r="AF158" s="65"/>
      <c r="AG158" s="65"/>
      <c r="AH158" s="65"/>
      <c r="AI158" s="67"/>
      <c r="AJ158" s="67"/>
      <c r="AK158" s="67"/>
      <c r="AL158" s="67"/>
      <c r="AM158" s="67"/>
      <c r="AN158" s="67"/>
      <c r="AO158" s="67"/>
      <c r="AP158" s="67"/>
      <c r="AQ158" s="66"/>
    </row>
    <row r="159" spans="1:43" x14ac:dyDescent="0.25">
      <c r="A159" s="16"/>
      <c r="B159"/>
      <c r="C159" s="16"/>
      <c r="D159" s="67"/>
      <c r="E159" s="67"/>
      <c r="F159" s="67"/>
      <c r="G159" s="67"/>
      <c r="H159" s="67"/>
      <c r="I159" s="67"/>
      <c r="J159" s="65"/>
      <c r="K159" s="65"/>
      <c r="L159" s="65"/>
      <c r="M159" s="65"/>
      <c r="N159" s="65"/>
      <c r="O159" s="65"/>
      <c r="P159" s="67"/>
      <c r="Q159" s="67"/>
      <c r="R159" s="67"/>
      <c r="S159" s="65"/>
      <c r="T159" s="66"/>
      <c r="U159" s="66"/>
      <c r="V159" s="66"/>
      <c r="W159" s="66"/>
      <c r="X159" s="67"/>
      <c r="Y159" s="67"/>
      <c r="Z159" s="66"/>
      <c r="AA159" s="67"/>
      <c r="AB159" s="66"/>
      <c r="AC159" s="65"/>
      <c r="AD159" s="66"/>
      <c r="AE159" s="65"/>
      <c r="AF159" s="65"/>
      <c r="AG159" s="65"/>
      <c r="AH159" s="65"/>
      <c r="AI159" s="67"/>
      <c r="AJ159" s="67"/>
      <c r="AK159" s="67"/>
      <c r="AL159" s="67"/>
      <c r="AM159" s="67"/>
      <c r="AN159" s="67"/>
      <c r="AO159" s="67"/>
      <c r="AP159" s="67"/>
      <c r="AQ159" s="66"/>
    </row>
    <row r="160" spans="1:43" x14ac:dyDescent="0.25">
      <c r="A160" s="16"/>
      <c r="B160"/>
      <c r="C160" s="16"/>
      <c r="D160" s="67"/>
      <c r="E160" s="67"/>
      <c r="F160" s="67"/>
      <c r="G160" s="67"/>
      <c r="H160" s="67"/>
      <c r="I160" s="67"/>
      <c r="J160" s="65"/>
      <c r="K160" s="65"/>
      <c r="L160" s="65"/>
      <c r="M160" s="65"/>
      <c r="N160" s="65"/>
      <c r="O160" s="65"/>
      <c r="P160" s="67"/>
      <c r="Q160" s="67"/>
      <c r="R160" s="67"/>
      <c r="S160" s="65"/>
      <c r="T160" s="66"/>
      <c r="U160" s="66"/>
      <c r="V160" s="66"/>
      <c r="W160" s="66"/>
      <c r="X160" s="67"/>
      <c r="Y160" s="67"/>
      <c r="Z160" s="66"/>
      <c r="AA160" s="67"/>
      <c r="AB160" s="66"/>
      <c r="AC160" s="65"/>
      <c r="AD160" s="66"/>
      <c r="AE160" s="65"/>
      <c r="AF160" s="65"/>
      <c r="AG160" s="65"/>
      <c r="AH160" s="65"/>
      <c r="AI160" s="67"/>
      <c r="AJ160" s="67"/>
      <c r="AK160" s="67"/>
      <c r="AL160" s="67"/>
      <c r="AM160" s="67"/>
      <c r="AN160" s="67"/>
      <c r="AO160" s="67"/>
      <c r="AP160" s="67"/>
      <c r="AQ160" s="66"/>
    </row>
    <row r="161" spans="1:43" x14ac:dyDescent="0.25">
      <c r="A161" s="16"/>
      <c r="B161"/>
      <c r="C161" s="16"/>
      <c r="D161" s="67"/>
      <c r="E161" s="67"/>
      <c r="F161" s="67"/>
      <c r="G161" s="67"/>
      <c r="H161" s="67"/>
      <c r="I161" s="67"/>
      <c r="J161" s="65"/>
      <c r="K161" s="65"/>
      <c r="L161" s="65"/>
      <c r="M161" s="65"/>
      <c r="N161" s="65"/>
      <c r="O161" s="65"/>
      <c r="P161" s="67"/>
      <c r="Q161" s="67"/>
      <c r="R161" s="67"/>
      <c r="S161" s="65"/>
      <c r="T161" s="66"/>
      <c r="U161" s="66"/>
      <c r="V161" s="66"/>
      <c r="W161" s="66"/>
      <c r="X161" s="67"/>
      <c r="Y161" s="67"/>
      <c r="Z161" s="66"/>
      <c r="AA161" s="67"/>
      <c r="AB161" s="66"/>
      <c r="AC161" s="65"/>
      <c r="AD161" s="66"/>
      <c r="AE161" s="65"/>
      <c r="AF161" s="65"/>
      <c r="AG161" s="65"/>
      <c r="AH161" s="65"/>
      <c r="AI161" s="67"/>
      <c r="AJ161" s="67"/>
      <c r="AK161" s="67"/>
      <c r="AL161" s="67"/>
      <c r="AM161" s="67"/>
      <c r="AN161" s="67"/>
      <c r="AO161" s="67"/>
      <c r="AP161" s="67"/>
      <c r="AQ161" s="66"/>
    </row>
    <row r="162" spans="1:43" x14ac:dyDescent="0.25">
      <c r="A162" s="16"/>
      <c r="B162"/>
      <c r="C162" s="16"/>
      <c r="D162" s="67"/>
      <c r="E162" s="67"/>
      <c r="F162" s="67"/>
      <c r="G162" s="67"/>
      <c r="H162" s="67"/>
      <c r="I162" s="67"/>
      <c r="J162" s="65"/>
      <c r="K162" s="65"/>
      <c r="L162" s="65"/>
      <c r="M162" s="65"/>
      <c r="N162" s="65"/>
      <c r="O162" s="65"/>
      <c r="P162" s="67"/>
      <c r="Q162" s="67"/>
      <c r="R162" s="67"/>
      <c r="S162" s="65"/>
      <c r="T162" s="66"/>
      <c r="U162" s="66"/>
      <c r="V162" s="66"/>
      <c r="W162" s="66"/>
      <c r="X162" s="67"/>
      <c r="Y162" s="67"/>
      <c r="Z162" s="66"/>
      <c r="AA162" s="67"/>
      <c r="AB162" s="66"/>
      <c r="AC162" s="65"/>
      <c r="AD162" s="66"/>
      <c r="AE162" s="65"/>
      <c r="AF162" s="65"/>
      <c r="AG162" s="65"/>
      <c r="AH162" s="65"/>
      <c r="AI162" s="67"/>
      <c r="AJ162" s="67"/>
      <c r="AK162" s="67"/>
      <c r="AL162" s="67"/>
      <c r="AM162" s="67"/>
      <c r="AN162" s="67"/>
      <c r="AO162" s="67"/>
      <c r="AP162" s="67"/>
      <c r="AQ162" s="66"/>
    </row>
    <row r="163" spans="1:43" x14ac:dyDescent="0.25">
      <c r="A163" s="16"/>
      <c r="B163"/>
      <c r="C163" s="16"/>
      <c r="D163" s="67"/>
      <c r="E163" s="67"/>
      <c r="F163" s="67"/>
      <c r="G163" s="67"/>
      <c r="H163" s="67"/>
      <c r="I163" s="67"/>
      <c r="J163" s="65"/>
      <c r="K163" s="65"/>
      <c r="L163" s="65"/>
      <c r="M163" s="65"/>
      <c r="N163" s="65"/>
      <c r="O163" s="65"/>
      <c r="P163" s="67"/>
      <c r="Q163" s="67"/>
      <c r="R163" s="67"/>
      <c r="S163" s="65"/>
      <c r="T163" s="66"/>
      <c r="U163" s="66"/>
      <c r="V163" s="66"/>
      <c r="W163" s="66"/>
      <c r="X163" s="67"/>
      <c r="Y163" s="67"/>
      <c r="Z163" s="66"/>
      <c r="AA163" s="67"/>
      <c r="AB163" s="66"/>
      <c r="AC163" s="65"/>
      <c r="AD163" s="66"/>
      <c r="AE163" s="65"/>
      <c r="AF163" s="65"/>
      <c r="AG163" s="65"/>
      <c r="AH163" s="65"/>
      <c r="AI163" s="67"/>
      <c r="AJ163" s="67"/>
      <c r="AK163" s="67"/>
      <c r="AL163" s="67"/>
      <c r="AM163" s="67"/>
      <c r="AN163" s="67"/>
      <c r="AO163" s="67"/>
      <c r="AP163" s="67"/>
      <c r="AQ163" s="66"/>
    </row>
    <row r="164" spans="1:43" x14ac:dyDescent="0.25">
      <c r="A164" s="16"/>
      <c r="B164"/>
      <c r="C164" s="16"/>
      <c r="D164" s="67"/>
      <c r="E164" s="67"/>
      <c r="F164" s="67"/>
      <c r="G164" s="67"/>
      <c r="H164" s="67"/>
      <c r="I164" s="67"/>
      <c r="J164" s="65"/>
      <c r="K164" s="65"/>
      <c r="L164" s="65"/>
      <c r="M164" s="65"/>
      <c r="N164" s="65"/>
      <c r="O164" s="65"/>
      <c r="P164" s="67"/>
      <c r="Q164" s="67"/>
      <c r="R164" s="67"/>
      <c r="S164" s="65"/>
      <c r="T164" s="66"/>
      <c r="U164" s="66"/>
      <c r="V164" s="66"/>
      <c r="W164" s="66"/>
      <c r="X164" s="67"/>
      <c r="Y164" s="67"/>
      <c r="Z164" s="66"/>
      <c r="AA164" s="67"/>
      <c r="AB164" s="66"/>
      <c r="AC164" s="65"/>
      <c r="AD164" s="66"/>
      <c r="AE164" s="65"/>
      <c r="AF164" s="65"/>
      <c r="AG164" s="65"/>
      <c r="AH164" s="65"/>
      <c r="AI164" s="67"/>
      <c r="AJ164" s="67"/>
      <c r="AK164" s="67"/>
      <c r="AL164" s="67"/>
      <c r="AM164" s="67"/>
      <c r="AN164" s="67"/>
      <c r="AO164" s="67"/>
      <c r="AP164" s="67"/>
      <c r="AQ164" s="66"/>
    </row>
    <row r="165" spans="1:43" x14ac:dyDescent="0.25">
      <c r="A165" s="16"/>
      <c r="B165"/>
      <c r="C165" s="16"/>
      <c r="D165" s="67"/>
      <c r="E165" s="67"/>
      <c r="F165" s="67"/>
      <c r="G165" s="67"/>
      <c r="H165" s="67"/>
      <c r="I165" s="67"/>
      <c r="J165" s="65"/>
      <c r="K165" s="65"/>
      <c r="L165" s="65"/>
      <c r="M165" s="65"/>
      <c r="N165" s="65"/>
      <c r="O165" s="65"/>
      <c r="P165" s="67"/>
      <c r="Q165" s="67"/>
      <c r="R165" s="67"/>
      <c r="S165" s="65"/>
      <c r="T165" s="66"/>
      <c r="U165" s="66"/>
      <c r="V165" s="66"/>
      <c r="W165" s="66"/>
      <c r="X165" s="67"/>
      <c r="Y165" s="67"/>
      <c r="Z165" s="66"/>
      <c r="AA165" s="67"/>
      <c r="AB165" s="66"/>
      <c r="AC165" s="65"/>
      <c r="AD165" s="66"/>
      <c r="AE165" s="65"/>
      <c r="AF165" s="65"/>
      <c r="AG165" s="65"/>
      <c r="AH165" s="65"/>
      <c r="AI165" s="67"/>
      <c r="AJ165" s="67"/>
      <c r="AK165" s="67"/>
      <c r="AL165" s="67"/>
      <c r="AM165" s="67"/>
      <c r="AN165" s="67"/>
      <c r="AO165" s="67"/>
      <c r="AP165" s="67"/>
      <c r="AQ165" s="66"/>
    </row>
    <row r="166" spans="1:43" x14ac:dyDescent="0.25">
      <c r="A166" s="16"/>
      <c r="B166"/>
      <c r="C166" s="16"/>
      <c r="D166" s="67"/>
      <c r="E166" s="67"/>
      <c r="F166" s="67"/>
      <c r="G166" s="67"/>
      <c r="H166" s="67"/>
      <c r="I166" s="67"/>
      <c r="J166" s="65"/>
      <c r="K166" s="65"/>
      <c r="L166" s="65"/>
      <c r="M166" s="65"/>
      <c r="N166" s="65"/>
      <c r="O166" s="65"/>
      <c r="P166" s="67"/>
      <c r="Q166" s="67"/>
      <c r="R166" s="67"/>
      <c r="S166" s="65"/>
      <c r="T166" s="66"/>
      <c r="U166" s="66"/>
      <c r="V166" s="66"/>
      <c r="W166" s="66"/>
      <c r="X166" s="67"/>
      <c r="Y166" s="67"/>
      <c r="Z166" s="66"/>
      <c r="AA166" s="67"/>
      <c r="AB166" s="66"/>
      <c r="AC166" s="65"/>
      <c r="AD166" s="66"/>
      <c r="AE166" s="65"/>
      <c r="AF166" s="65"/>
      <c r="AG166" s="65"/>
      <c r="AH166" s="65"/>
      <c r="AI166" s="67"/>
      <c r="AJ166" s="67"/>
      <c r="AK166" s="67"/>
      <c r="AL166" s="67"/>
      <c r="AM166" s="67"/>
      <c r="AN166" s="67"/>
      <c r="AO166" s="67"/>
      <c r="AP166" s="67"/>
      <c r="AQ166" s="66"/>
    </row>
    <row r="167" spans="1:43" x14ac:dyDescent="0.25">
      <c r="A167" s="16"/>
      <c r="B167"/>
      <c r="C167" s="16"/>
      <c r="D167" s="67"/>
      <c r="E167" s="67"/>
      <c r="F167" s="67"/>
      <c r="G167" s="67"/>
      <c r="H167" s="67"/>
      <c r="I167" s="67"/>
      <c r="J167" s="65"/>
      <c r="K167" s="65"/>
      <c r="L167" s="65"/>
      <c r="M167" s="65"/>
      <c r="N167" s="65"/>
      <c r="O167" s="65"/>
      <c r="P167" s="67"/>
      <c r="Q167" s="67"/>
      <c r="R167" s="67"/>
      <c r="S167" s="65"/>
      <c r="T167" s="66"/>
      <c r="U167" s="66"/>
      <c r="V167" s="66"/>
      <c r="W167" s="66"/>
      <c r="X167" s="67"/>
      <c r="Y167" s="67"/>
      <c r="Z167" s="66"/>
      <c r="AA167" s="67"/>
      <c r="AB167" s="66"/>
      <c r="AC167" s="65"/>
      <c r="AD167" s="66"/>
      <c r="AE167" s="65"/>
      <c r="AF167" s="65"/>
      <c r="AG167" s="65"/>
      <c r="AH167" s="65"/>
      <c r="AI167" s="67"/>
      <c r="AJ167" s="67"/>
      <c r="AK167" s="67"/>
      <c r="AL167" s="67"/>
      <c r="AM167" s="67"/>
      <c r="AN167" s="67"/>
      <c r="AO167" s="67"/>
      <c r="AP167" s="67"/>
      <c r="AQ167" s="66"/>
    </row>
    <row r="168" spans="1:43" x14ac:dyDescent="0.25">
      <c r="A168" s="16"/>
      <c r="B168"/>
      <c r="C168" s="16"/>
      <c r="D168" s="67"/>
      <c r="E168" s="67"/>
      <c r="F168" s="67"/>
      <c r="G168" s="67"/>
      <c r="H168" s="67"/>
      <c r="I168" s="67"/>
      <c r="J168" s="65"/>
      <c r="K168" s="65"/>
      <c r="L168" s="65"/>
      <c r="M168" s="65"/>
      <c r="N168" s="65"/>
      <c r="O168" s="65"/>
      <c r="P168" s="67"/>
      <c r="Q168" s="67"/>
      <c r="R168" s="67"/>
      <c r="S168" s="65"/>
      <c r="T168" s="66"/>
      <c r="U168" s="66"/>
      <c r="V168" s="66"/>
      <c r="W168" s="66"/>
      <c r="X168" s="67"/>
      <c r="Y168" s="67"/>
      <c r="Z168" s="66"/>
      <c r="AA168" s="67"/>
      <c r="AB168" s="66"/>
      <c r="AC168" s="65"/>
      <c r="AD168" s="66"/>
      <c r="AE168" s="65"/>
      <c r="AF168" s="65"/>
      <c r="AG168" s="65"/>
      <c r="AH168" s="65"/>
      <c r="AI168" s="67"/>
      <c r="AJ168" s="67"/>
      <c r="AK168" s="67"/>
      <c r="AL168" s="67"/>
      <c r="AM168" s="67"/>
      <c r="AN168" s="67"/>
      <c r="AO168" s="67"/>
      <c r="AP168" s="67"/>
      <c r="AQ168" s="66"/>
    </row>
    <row r="169" spans="1:43" x14ac:dyDescent="0.25">
      <c r="A169" s="16"/>
      <c r="B169"/>
      <c r="C169" s="16"/>
      <c r="D169" s="67"/>
      <c r="E169" s="67"/>
      <c r="F169" s="67"/>
      <c r="G169" s="67"/>
      <c r="H169" s="67"/>
      <c r="I169" s="67"/>
      <c r="J169" s="65"/>
      <c r="K169" s="65"/>
      <c r="L169" s="65"/>
      <c r="M169" s="65"/>
      <c r="N169" s="65"/>
      <c r="O169" s="65"/>
      <c r="P169" s="67"/>
      <c r="Q169" s="67"/>
      <c r="R169" s="67"/>
      <c r="S169" s="65"/>
      <c r="T169" s="66"/>
      <c r="U169" s="66"/>
      <c r="V169" s="66"/>
      <c r="W169" s="66"/>
      <c r="X169" s="67"/>
      <c r="Y169" s="67"/>
      <c r="Z169" s="66"/>
      <c r="AA169" s="67"/>
      <c r="AB169" s="66"/>
      <c r="AC169" s="65"/>
      <c r="AD169" s="66"/>
      <c r="AE169" s="65"/>
      <c r="AF169" s="65"/>
      <c r="AG169" s="65"/>
      <c r="AH169" s="65"/>
      <c r="AI169" s="67"/>
      <c r="AJ169" s="67"/>
      <c r="AK169" s="67"/>
      <c r="AL169" s="67"/>
      <c r="AM169" s="67"/>
      <c r="AN169" s="67"/>
      <c r="AO169" s="67"/>
      <c r="AP169" s="67"/>
      <c r="AQ169" s="66"/>
    </row>
    <row r="170" spans="1:43" x14ac:dyDescent="0.25">
      <c r="A170" s="16"/>
      <c r="B170"/>
      <c r="C170" s="16"/>
      <c r="D170" s="67"/>
      <c r="E170" s="67"/>
      <c r="F170" s="67"/>
      <c r="G170" s="67"/>
      <c r="H170" s="67"/>
      <c r="I170" s="67"/>
      <c r="J170" s="65"/>
      <c r="K170" s="65"/>
      <c r="L170" s="65"/>
      <c r="M170" s="65"/>
      <c r="N170" s="65"/>
      <c r="O170" s="65"/>
      <c r="P170" s="67"/>
      <c r="Q170" s="67"/>
      <c r="R170" s="67"/>
      <c r="S170" s="65"/>
      <c r="T170" s="66"/>
      <c r="U170" s="66"/>
      <c r="V170" s="66"/>
      <c r="W170" s="66"/>
      <c r="X170" s="67"/>
      <c r="Y170" s="67"/>
      <c r="Z170" s="66"/>
      <c r="AA170" s="67"/>
      <c r="AB170" s="66"/>
      <c r="AC170" s="65"/>
      <c r="AD170" s="66"/>
      <c r="AE170" s="65"/>
      <c r="AF170" s="65"/>
      <c r="AG170" s="65"/>
      <c r="AH170" s="65"/>
      <c r="AI170" s="67"/>
      <c r="AJ170" s="67"/>
      <c r="AK170" s="67"/>
      <c r="AL170" s="67"/>
      <c r="AM170" s="67"/>
      <c r="AN170" s="67"/>
      <c r="AO170" s="67"/>
      <c r="AP170" s="67"/>
      <c r="AQ170" s="66"/>
    </row>
    <row r="171" spans="1:43" x14ac:dyDescent="0.25">
      <c r="A171" s="16"/>
      <c r="B171"/>
      <c r="C171" s="16"/>
      <c r="D171" s="67"/>
      <c r="E171" s="67"/>
      <c r="F171" s="67"/>
      <c r="G171" s="67"/>
      <c r="H171" s="67"/>
      <c r="I171" s="67"/>
      <c r="J171" s="65"/>
      <c r="K171" s="65"/>
      <c r="L171" s="65"/>
      <c r="M171" s="65"/>
      <c r="N171" s="65"/>
      <c r="O171" s="65"/>
      <c r="P171" s="67"/>
      <c r="Q171" s="67"/>
      <c r="R171" s="67"/>
      <c r="S171" s="65"/>
      <c r="T171" s="66"/>
      <c r="U171" s="66"/>
      <c r="V171" s="66"/>
      <c r="W171" s="66"/>
      <c r="X171" s="67"/>
      <c r="Y171" s="67"/>
      <c r="Z171" s="66"/>
      <c r="AA171" s="67"/>
      <c r="AB171" s="66"/>
      <c r="AC171" s="65"/>
      <c r="AD171" s="66"/>
      <c r="AE171" s="65"/>
      <c r="AF171" s="65"/>
      <c r="AG171" s="65"/>
      <c r="AH171" s="65"/>
      <c r="AI171" s="67"/>
      <c r="AJ171" s="67"/>
      <c r="AK171" s="67"/>
      <c r="AL171" s="67"/>
      <c r="AM171" s="67"/>
      <c r="AN171" s="67"/>
      <c r="AO171" s="67"/>
      <c r="AP171" s="67"/>
      <c r="AQ171" s="66"/>
    </row>
    <row r="172" spans="1:43" x14ac:dyDescent="0.25">
      <c r="A172" s="16"/>
      <c r="B172"/>
      <c r="C172" s="16"/>
      <c r="D172" s="67"/>
      <c r="E172" s="67"/>
      <c r="F172" s="67"/>
      <c r="G172" s="67"/>
      <c r="H172" s="67"/>
      <c r="I172" s="67"/>
      <c r="J172" s="65"/>
      <c r="K172" s="65"/>
      <c r="L172" s="65"/>
      <c r="M172" s="65"/>
      <c r="N172" s="65"/>
      <c r="O172" s="65"/>
      <c r="P172" s="67"/>
      <c r="Q172" s="67"/>
      <c r="R172" s="67"/>
      <c r="S172" s="65"/>
      <c r="T172" s="66"/>
      <c r="U172" s="66"/>
      <c r="V172" s="66"/>
      <c r="W172" s="66"/>
      <c r="X172" s="67"/>
      <c r="Y172" s="67"/>
      <c r="Z172" s="66"/>
      <c r="AA172" s="67"/>
      <c r="AB172" s="66"/>
      <c r="AC172" s="65"/>
      <c r="AD172" s="66"/>
      <c r="AE172" s="65"/>
      <c r="AF172" s="65"/>
      <c r="AG172" s="65"/>
      <c r="AH172" s="65"/>
      <c r="AI172" s="67"/>
      <c r="AJ172" s="67"/>
      <c r="AK172" s="67"/>
      <c r="AL172" s="67"/>
      <c r="AM172" s="67"/>
      <c r="AN172" s="67"/>
      <c r="AO172" s="67"/>
      <c r="AP172" s="67"/>
      <c r="AQ172" s="66"/>
    </row>
    <row r="173" spans="1:43" x14ac:dyDescent="0.25">
      <c r="A173" s="16"/>
      <c r="B173"/>
      <c r="C173" s="16"/>
      <c r="D173" s="67"/>
      <c r="E173" s="67"/>
      <c r="F173" s="67"/>
      <c r="G173" s="67"/>
      <c r="H173" s="67"/>
      <c r="I173" s="67"/>
      <c r="J173" s="65"/>
      <c r="K173" s="65"/>
      <c r="L173" s="65"/>
      <c r="M173" s="65"/>
      <c r="N173" s="65"/>
      <c r="O173" s="65"/>
      <c r="P173" s="67"/>
      <c r="Q173" s="67"/>
      <c r="R173" s="67"/>
      <c r="S173" s="65"/>
      <c r="T173" s="66"/>
      <c r="U173" s="66"/>
      <c r="V173" s="66"/>
      <c r="W173" s="66"/>
      <c r="X173" s="67"/>
      <c r="Y173" s="67"/>
      <c r="Z173" s="66"/>
      <c r="AA173" s="67"/>
      <c r="AB173" s="66"/>
      <c r="AC173" s="65"/>
      <c r="AD173" s="66"/>
      <c r="AE173" s="65"/>
      <c r="AF173" s="65"/>
      <c r="AG173" s="65"/>
      <c r="AH173" s="65"/>
      <c r="AI173" s="67"/>
      <c r="AJ173" s="67"/>
      <c r="AK173" s="67"/>
      <c r="AL173" s="67"/>
      <c r="AM173" s="67"/>
      <c r="AN173" s="67"/>
      <c r="AO173" s="67"/>
      <c r="AP173" s="67"/>
      <c r="AQ173" s="66"/>
    </row>
    <row r="174" spans="1:43" x14ac:dyDescent="0.25">
      <c r="A174" s="16"/>
      <c r="B174"/>
      <c r="C174" s="16"/>
      <c r="D174" s="67"/>
      <c r="E174" s="67"/>
      <c r="F174" s="67"/>
      <c r="G174" s="67"/>
      <c r="H174" s="67"/>
      <c r="I174" s="67"/>
      <c r="J174" s="65"/>
      <c r="K174" s="65"/>
      <c r="L174" s="65"/>
      <c r="M174" s="65"/>
      <c r="N174" s="65"/>
      <c r="O174" s="65"/>
      <c r="P174" s="67"/>
      <c r="Q174" s="67"/>
      <c r="R174" s="67"/>
      <c r="S174" s="65"/>
      <c r="T174" s="66"/>
      <c r="U174" s="66"/>
      <c r="V174" s="66"/>
      <c r="W174" s="66"/>
      <c r="X174" s="67"/>
      <c r="Y174" s="67"/>
      <c r="Z174" s="66"/>
      <c r="AA174" s="67"/>
      <c r="AB174" s="66"/>
      <c r="AC174" s="65"/>
      <c r="AD174" s="66"/>
      <c r="AE174" s="65"/>
      <c r="AF174" s="65"/>
      <c r="AG174" s="65"/>
      <c r="AH174" s="65"/>
      <c r="AI174" s="67"/>
      <c r="AJ174" s="67"/>
      <c r="AK174" s="67"/>
      <c r="AL174" s="67"/>
      <c r="AM174" s="67"/>
      <c r="AN174" s="67"/>
      <c r="AO174" s="67"/>
      <c r="AP174" s="67"/>
      <c r="AQ174" s="66"/>
    </row>
    <row r="175" spans="1:43" x14ac:dyDescent="0.25">
      <c r="A175" s="16"/>
      <c r="B175"/>
      <c r="C175" s="16"/>
      <c r="D175" s="67"/>
      <c r="E175" s="67"/>
      <c r="F175" s="67"/>
      <c r="G175" s="67"/>
      <c r="H175" s="67"/>
      <c r="I175" s="67"/>
      <c r="J175" s="65"/>
      <c r="K175" s="65"/>
      <c r="L175" s="65"/>
      <c r="M175" s="65"/>
      <c r="N175" s="65"/>
      <c r="O175" s="65"/>
      <c r="P175" s="67"/>
      <c r="Q175" s="67"/>
      <c r="R175" s="67"/>
      <c r="S175" s="65"/>
      <c r="T175" s="66"/>
      <c r="U175" s="66"/>
      <c r="V175" s="66"/>
      <c r="W175" s="66"/>
      <c r="X175" s="67"/>
      <c r="Y175" s="67"/>
      <c r="Z175" s="66"/>
      <c r="AA175" s="67"/>
      <c r="AB175" s="66"/>
      <c r="AC175" s="65"/>
      <c r="AD175" s="66"/>
      <c r="AE175" s="65"/>
      <c r="AF175" s="65"/>
      <c r="AG175" s="65"/>
      <c r="AH175" s="65"/>
      <c r="AI175" s="67"/>
      <c r="AJ175" s="67"/>
      <c r="AK175" s="67"/>
      <c r="AL175" s="67"/>
      <c r="AM175" s="67"/>
      <c r="AN175" s="67"/>
      <c r="AO175" s="67"/>
      <c r="AP175" s="67"/>
      <c r="AQ175" s="66"/>
    </row>
    <row r="176" spans="1:43" x14ac:dyDescent="0.25">
      <c r="A176" s="16"/>
      <c r="B176"/>
      <c r="C176" s="16"/>
      <c r="D176" s="67"/>
      <c r="E176" s="67"/>
      <c r="F176" s="67"/>
      <c r="G176" s="67"/>
      <c r="H176" s="67"/>
      <c r="I176" s="67"/>
      <c r="J176" s="65"/>
      <c r="K176" s="65"/>
      <c r="L176" s="65"/>
      <c r="M176" s="65"/>
      <c r="N176" s="65"/>
      <c r="O176" s="65"/>
      <c r="P176" s="67"/>
      <c r="Q176" s="67"/>
      <c r="R176" s="67"/>
      <c r="S176" s="65"/>
      <c r="T176" s="66"/>
      <c r="U176" s="66"/>
      <c r="V176" s="66"/>
      <c r="W176" s="66"/>
      <c r="X176" s="67"/>
      <c r="Y176" s="67"/>
      <c r="Z176" s="66"/>
      <c r="AA176" s="67"/>
      <c r="AB176" s="66"/>
      <c r="AC176" s="65"/>
      <c r="AD176" s="66"/>
      <c r="AE176" s="65"/>
      <c r="AF176" s="65"/>
      <c r="AG176" s="65"/>
      <c r="AH176" s="65"/>
      <c r="AI176" s="67"/>
      <c r="AJ176" s="67"/>
      <c r="AK176" s="67"/>
      <c r="AL176" s="67"/>
      <c r="AM176" s="67"/>
      <c r="AN176" s="67"/>
      <c r="AO176" s="67"/>
      <c r="AP176" s="67"/>
      <c r="AQ176" s="66"/>
    </row>
    <row r="177" spans="1:43" x14ac:dyDescent="0.25">
      <c r="A177" s="16"/>
      <c r="B177"/>
      <c r="C177" s="16"/>
      <c r="D177" s="67"/>
      <c r="E177" s="67"/>
      <c r="F177" s="67"/>
      <c r="G177" s="67"/>
      <c r="H177" s="67"/>
      <c r="I177" s="67"/>
      <c r="J177" s="65"/>
      <c r="K177" s="65"/>
      <c r="L177" s="65"/>
      <c r="M177" s="65"/>
      <c r="N177" s="65"/>
      <c r="O177" s="65"/>
      <c r="P177" s="67"/>
      <c r="Q177" s="67"/>
      <c r="R177" s="67"/>
      <c r="S177" s="65"/>
      <c r="T177" s="66"/>
      <c r="U177" s="66"/>
      <c r="V177" s="66"/>
      <c r="W177" s="66"/>
      <c r="X177" s="67"/>
      <c r="Y177" s="67"/>
      <c r="Z177" s="66"/>
      <c r="AA177" s="67"/>
      <c r="AB177" s="66"/>
      <c r="AC177" s="65"/>
      <c r="AD177" s="66"/>
      <c r="AE177" s="65"/>
      <c r="AF177" s="65"/>
      <c r="AG177" s="65"/>
      <c r="AH177" s="65"/>
      <c r="AI177" s="67"/>
      <c r="AJ177" s="67"/>
      <c r="AK177" s="67"/>
      <c r="AL177" s="67"/>
      <c r="AM177" s="67"/>
      <c r="AN177" s="67"/>
      <c r="AO177" s="67"/>
      <c r="AP177" s="67"/>
      <c r="AQ177" s="66"/>
    </row>
    <row r="178" spans="1:43" x14ac:dyDescent="0.25">
      <c r="A178" s="16"/>
      <c r="B178"/>
      <c r="C178" s="16"/>
      <c r="D178" s="67"/>
      <c r="E178" s="67"/>
      <c r="F178" s="67"/>
      <c r="G178" s="67"/>
      <c r="H178" s="67"/>
      <c r="I178" s="67"/>
      <c r="J178" s="65"/>
      <c r="K178" s="65"/>
      <c r="L178" s="65"/>
      <c r="M178" s="65"/>
      <c r="N178" s="65"/>
      <c r="O178" s="65"/>
      <c r="P178" s="67"/>
      <c r="Q178" s="67"/>
      <c r="R178" s="67"/>
      <c r="S178" s="65"/>
      <c r="T178" s="66"/>
      <c r="U178" s="66"/>
      <c r="V178" s="66"/>
      <c r="W178" s="66"/>
      <c r="X178" s="67"/>
      <c r="Y178" s="67"/>
      <c r="Z178" s="66"/>
      <c r="AA178" s="67"/>
      <c r="AB178" s="66"/>
      <c r="AC178" s="65"/>
      <c r="AD178" s="66"/>
      <c r="AE178" s="65"/>
      <c r="AF178" s="65"/>
      <c r="AG178" s="65"/>
      <c r="AH178" s="65"/>
      <c r="AI178" s="67"/>
      <c r="AJ178" s="67"/>
      <c r="AK178" s="67"/>
      <c r="AL178" s="67"/>
      <c r="AM178" s="67"/>
      <c r="AN178" s="67"/>
      <c r="AO178" s="67"/>
      <c r="AP178" s="67"/>
      <c r="AQ178" s="66"/>
    </row>
    <row r="179" spans="1:43" x14ac:dyDescent="0.25">
      <c r="A179" s="16"/>
      <c r="B179"/>
      <c r="C179" s="16"/>
      <c r="D179" s="67"/>
      <c r="E179" s="67"/>
      <c r="F179" s="67"/>
      <c r="G179" s="67"/>
      <c r="H179" s="67"/>
      <c r="I179" s="67"/>
      <c r="J179" s="65"/>
      <c r="K179" s="65"/>
      <c r="L179" s="65"/>
      <c r="M179" s="65"/>
      <c r="N179" s="65"/>
      <c r="O179" s="65"/>
      <c r="P179" s="67"/>
      <c r="Q179" s="67"/>
      <c r="R179" s="67"/>
      <c r="S179" s="65"/>
      <c r="T179" s="66"/>
      <c r="U179" s="66"/>
      <c r="V179" s="66"/>
      <c r="W179" s="66"/>
      <c r="X179" s="67"/>
      <c r="Y179" s="67"/>
      <c r="Z179" s="66"/>
      <c r="AA179" s="67"/>
      <c r="AB179" s="66"/>
      <c r="AC179" s="65"/>
      <c r="AD179" s="66"/>
      <c r="AE179" s="65"/>
      <c r="AF179" s="65"/>
      <c r="AG179" s="65"/>
      <c r="AH179" s="65"/>
      <c r="AI179" s="67"/>
      <c r="AJ179" s="67"/>
      <c r="AK179" s="67"/>
      <c r="AL179" s="67"/>
      <c r="AM179" s="67"/>
      <c r="AN179" s="67"/>
      <c r="AO179" s="67"/>
      <c r="AP179" s="67"/>
      <c r="AQ179" s="66"/>
    </row>
    <row r="180" spans="1:43" x14ac:dyDescent="0.25">
      <c r="A180" s="16"/>
      <c r="B180"/>
      <c r="C180" s="16"/>
      <c r="D180" s="67"/>
      <c r="E180" s="67"/>
      <c r="F180" s="67"/>
      <c r="G180" s="67"/>
      <c r="H180" s="67"/>
      <c r="I180" s="67"/>
      <c r="J180" s="65"/>
      <c r="K180" s="65"/>
      <c r="L180" s="65"/>
      <c r="M180" s="65"/>
      <c r="N180" s="65"/>
      <c r="O180" s="65"/>
      <c r="P180" s="67"/>
      <c r="Q180" s="67"/>
      <c r="R180" s="67"/>
      <c r="S180" s="65"/>
      <c r="T180" s="66"/>
      <c r="U180" s="66"/>
      <c r="V180" s="66"/>
      <c r="W180" s="66"/>
      <c r="X180" s="67"/>
      <c r="Y180" s="67"/>
      <c r="Z180" s="66"/>
      <c r="AA180" s="67"/>
      <c r="AB180" s="66"/>
      <c r="AC180" s="65"/>
      <c r="AD180" s="66"/>
      <c r="AE180" s="65"/>
      <c r="AF180" s="65"/>
      <c r="AG180" s="65"/>
      <c r="AH180" s="65"/>
      <c r="AI180" s="67"/>
      <c r="AJ180" s="67"/>
      <c r="AK180" s="67"/>
      <c r="AL180" s="67"/>
      <c r="AM180" s="67"/>
      <c r="AN180" s="67"/>
      <c r="AO180" s="67"/>
      <c r="AP180" s="67"/>
      <c r="AQ180" s="66"/>
    </row>
    <row r="181" spans="1:43" x14ac:dyDescent="0.25">
      <c r="A181" s="16"/>
      <c r="B181"/>
      <c r="C181" s="16"/>
      <c r="D181" s="67"/>
      <c r="E181" s="67"/>
      <c r="F181" s="67"/>
      <c r="G181" s="67"/>
      <c r="H181" s="67"/>
      <c r="I181" s="67"/>
      <c r="J181" s="65"/>
      <c r="K181" s="65"/>
      <c r="L181" s="65"/>
      <c r="M181" s="65"/>
      <c r="N181" s="65"/>
      <c r="O181" s="65"/>
      <c r="P181" s="67"/>
      <c r="Q181" s="67"/>
      <c r="R181" s="67"/>
      <c r="S181" s="65"/>
      <c r="T181" s="66"/>
      <c r="U181" s="66"/>
      <c r="V181" s="66"/>
      <c r="W181" s="66"/>
      <c r="X181" s="67"/>
      <c r="Y181" s="67"/>
      <c r="Z181" s="66"/>
      <c r="AA181" s="67"/>
      <c r="AB181" s="66"/>
      <c r="AC181" s="65"/>
      <c r="AD181" s="66"/>
      <c r="AE181" s="65"/>
      <c r="AF181" s="65"/>
      <c r="AG181" s="65"/>
      <c r="AH181" s="65"/>
      <c r="AI181" s="67"/>
      <c r="AJ181" s="67"/>
      <c r="AK181" s="67"/>
      <c r="AL181" s="67"/>
      <c r="AM181" s="67"/>
      <c r="AN181" s="67"/>
      <c r="AO181" s="67"/>
      <c r="AP181" s="67"/>
      <c r="AQ181" s="66"/>
    </row>
    <row r="182" spans="1:43" x14ac:dyDescent="0.25">
      <c r="A182" s="16"/>
      <c r="B182"/>
      <c r="C182" s="16"/>
      <c r="D182" s="67"/>
      <c r="E182" s="67"/>
      <c r="F182" s="67"/>
      <c r="G182" s="67"/>
      <c r="H182" s="67"/>
      <c r="I182" s="67"/>
      <c r="J182" s="65"/>
      <c r="K182" s="65"/>
      <c r="L182" s="65"/>
      <c r="M182" s="65"/>
      <c r="N182" s="65"/>
      <c r="O182" s="65"/>
      <c r="P182" s="67"/>
      <c r="Q182" s="67"/>
      <c r="R182" s="67"/>
      <c r="S182" s="65"/>
      <c r="T182" s="66"/>
      <c r="U182" s="66"/>
      <c r="V182" s="66"/>
      <c r="W182" s="66"/>
      <c r="X182" s="67"/>
      <c r="Y182" s="67"/>
      <c r="Z182" s="66"/>
      <c r="AA182" s="67"/>
      <c r="AB182" s="66"/>
      <c r="AC182" s="65"/>
      <c r="AD182" s="66"/>
      <c r="AE182" s="65"/>
      <c r="AF182" s="65"/>
      <c r="AG182" s="65"/>
      <c r="AH182" s="65"/>
      <c r="AI182" s="67"/>
      <c r="AJ182" s="67"/>
      <c r="AK182" s="67"/>
      <c r="AL182" s="67"/>
      <c r="AM182" s="67"/>
      <c r="AN182" s="67"/>
      <c r="AO182" s="67"/>
      <c r="AP182" s="67"/>
      <c r="AQ182" s="66"/>
    </row>
    <row r="183" spans="1:43" x14ac:dyDescent="0.25">
      <c r="A183" s="16"/>
      <c r="B183"/>
      <c r="C183" s="16"/>
      <c r="D183" s="67"/>
      <c r="E183" s="67"/>
      <c r="F183" s="67"/>
      <c r="G183" s="67"/>
      <c r="H183" s="67"/>
      <c r="I183" s="67"/>
      <c r="J183" s="65"/>
      <c r="K183" s="65"/>
      <c r="L183" s="65"/>
      <c r="M183" s="65"/>
      <c r="N183" s="65"/>
      <c r="O183" s="65"/>
      <c r="P183" s="67"/>
      <c r="Q183" s="67"/>
      <c r="R183" s="67"/>
      <c r="S183" s="65"/>
      <c r="T183" s="66"/>
      <c r="U183" s="66"/>
      <c r="V183" s="66"/>
      <c r="W183" s="66"/>
      <c r="X183" s="67"/>
      <c r="Y183" s="67"/>
      <c r="Z183" s="66"/>
      <c r="AA183" s="67"/>
      <c r="AB183" s="66"/>
      <c r="AC183" s="65"/>
      <c r="AD183" s="66"/>
      <c r="AE183" s="65"/>
      <c r="AF183" s="65"/>
      <c r="AG183" s="65"/>
      <c r="AH183" s="65"/>
      <c r="AI183" s="67"/>
      <c r="AJ183" s="67"/>
      <c r="AK183" s="67"/>
      <c r="AL183" s="67"/>
      <c r="AM183" s="67"/>
      <c r="AN183" s="67"/>
      <c r="AO183" s="67"/>
      <c r="AP183" s="67"/>
      <c r="AQ183" s="66"/>
    </row>
    <row r="184" spans="1:43" x14ac:dyDescent="0.25">
      <c r="A184" s="16"/>
      <c r="B184"/>
      <c r="C184" s="16"/>
      <c r="D184" s="67"/>
      <c r="E184" s="67"/>
      <c r="F184" s="67"/>
      <c r="G184" s="67"/>
      <c r="H184" s="67"/>
      <c r="I184" s="67"/>
      <c r="J184" s="65"/>
      <c r="K184" s="65"/>
      <c r="L184" s="65"/>
      <c r="M184" s="65"/>
      <c r="N184" s="65"/>
      <c r="O184" s="65"/>
      <c r="P184" s="67"/>
      <c r="Q184" s="67"/>
      <c r="R184" s="67"/>
      <c r="S184" s="65"/>
      <c r="T184" s="66"/>
      <c r="U184" s="66"/>
      <c r="V184" s="66"/>
      <c r="W184" s="66"/>
      <c r="X184" s="67"/>
      <c r="Y184" s="67"/>
      <c r="Z184" s="66"/>
      <c r="AA184" s="67"/>
      <c r="AB184" s="66"/>
      <c r="AC184" s="65"/>
      <c r="AD184" s="66"/>
      <c r="AE184" s="65"/>
      <c r="AF184" s="65"/>
      <c r="AG184" s="65"/>
      <c r="AH184" s="65"/>
      <c r="AI184" s="67"/>
      <c r="AJ184" s="67"/>
      <c r="AK184" s="67"/>
      <c r="AL184" s="67"/>
      <c r="AM184" s="67"/>
      <c r="AN184" s="67"/>
      <c r="AO184" s="67"/>
      <c r="AP184" s="67"/>
      <c r="AQ184" s="66"/>
    </row>
    <row r="185" spans="1:43" x14ac:dyDescent="0.25">
      <c r="A185" s="16"/>
      <c r="B185"/>
      <c r="C185" s="16"/>
      <c r="D185" s="67"/>
      <c r="E185" s="67"/>
      <c r="F185" s="67"/>
      <c r="G185" s="67"/>
      <c r="H185" s="67"/>
      <c r="I185" s="67"/>
      <c r="J185" s="65"/>
      <c r="K185" s="65"/>
      <c r="L185" s="65"/>
      <c r="M185" s="65"/>
      <c r="N185" s="65"/>
      <c r="O185" s="65"/>
      <c r="P185" s="67"/>
      <c r="Q185" s="67"/>
      <c r="R185" s="67"/>
      <c r="S185" s="65"/>
      <c r="T185" s="66"/>
      <c r="U185" s="66"/>
      <c r="V185" s="66"/>
      <c r="W185" s="66"/>
      <c r="X185" s="67"/>
      <c r="Y185" s="67"/>
      <c r="Z185" s="66"/>
      <c r="AA185" s="67"/>
      <c r="AB185" s="66"/>
      <c r="AC185" s="65"/>
      <c r="AD185" s="66"/>
      <c r="AE185" s="65"/>
      <c r="AF185" s="65"/>
      <c r="AG185" s="65"/>
      <c r="AH185" s="65"/>
      <c r="AI185" s="67"/>
      <c r="AJ185" s="67"/>
      <c r="AK185" s="67"/>
      <c r="AL185" s="67"/>
      <c r="AM185" s="67"/>
      <c r="AN185" s="67"/>
      <c r="AO185" s="67"/>
      <c r="AP185" s="67"/>
      <c r="AQ185" s="66"/>
    </row>
    <row r="186" spans="1:43" x14ac:dyDescent="0.25">
      <c r="A186" s="16"/>
      <c r="B186"/>
      <c r="C186" s="16"/>
      <c r="D186" s="67"/>
      <c r="E186" s="67"/>
      <c r="F186" s="67"/>
      <c r="G186" s="67"/>
      <c r="H186" s="67"/>
      <c r="I186" s="67"/>
      <c r="J186" s="65"/>
      <c r="K186" s="65"/>
      <c r="L186" s="65"/>
      <c r="M186" s="65"/>
      <c r="N186" s="65"/>
      <c r="O186" s="65"/>
      <c r="P186" s="67"/>
      <c r="Q186" s="67"/>
      <c r="R186" s="67"/>
      <c r="S186" s="65"/>
      <c r="T186" s="66"/>
      <c r="U186" s="66"/>
      <c r="V186" s="66"/>
      <c r="W186" s="66"/>
      <c r="X186" s="67"/>
      <c r="Y186" s="67"/>
      <c r="Z186" s="66"/>
      <c r="AA186" s="67"/>
      <c r="AB186" s="66"/>
      <c r="AC186" s="65"/>
      <c r="AD186" s="66"/>
      <c r="AE186" s="65"/>
      <c r="AF186" s="65"/>
      <c r="AG186" s="65"/>
      <c r="AH186" s="65"/>
      <c r="AI186" s="67"/>
      <c r="AJ186" s="67"/>
      <c r="AK186" s="67"/>
      <c r="AL186" s="67"/>
      <c r="AM186" s="67"/>
      <c r="AN186" s="67"/>
      <c r="AO186" s="67"/>
      <c r="AP186" s="67"/>
      <c r="AQ186" s="66"/>
    </row>
    <row r="187" spans="1:43" x14ac:dyDescent="0.25">
      <c r="A187" s="16"/>
      <c r="B187"/>
      <c r="C187" s="16"/>
      <c r="D187" s="67"/>
      <c r="E187" s="67"/>
      <c r="F187" s="67"/>
      <c r="G187" s="67"/>
      <c r="H187" s="67"/>
      <c r="I187" s="67"/>
      <c r="J187" s="65"/>
      <c r="K187" s="65"/>
      <c r="L187" s="65"/>
      <c r="M187" s="65"/>
      <c r="N187" s="65"/>
      <c r="O187" s="65"/>
      <c r="P187" s="67"/>
      <c r="Q187" s="67"/>
      <c r="R187" s="67"/>
      <c r="S187" s="65"/>
      <c r="T187" s="66"/>
      <c r="U187" s="66"/>
      <c r="V187" s="66"/>
      <c r="W187" s="66"/>
      <c r="X187" s="67"/>
      <c r="Y187" s="67"/>
      <c r="Z187" s="66"/>
      <c r="AA187" s="67"/>
      <c r="AB187" s="66"/>
      <c r="AC187" s="65"/>
      <c r="AD187" s="66"/>
      <c r="AE187" s="65"/>
      <c r="AF187" s="65"/>
      <c r="AG187" s="65"/>
      <c r="AH187" s="65"/>
      <c r="AI187" s="67"/>
      <c r="AJ187" s="67"/>
      <c r="AK187" s="67"/>
      <c r="AL187" s="67"/>
      <c r="AM187" s="67"/>
      <c r="AN187" s="67"/>
      <c r="AO187" s="67"/>
      <c r="AP187" s="67"/>
      <c r="AQ187" s="66"/>
    </row>
    <row r="188" spans="1:43" x14ac:dyDescent="0.25">
      <c r="AA188" s="141"/>
    </row>
    <row r="189" spans="1:43" x14ac:dyDescent="0.25">
      <c r="AA189" s="141"/>
    </row>
  </sheetData>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14"/>
  <sheetViews>
    <sheetView showGridLines="0" workbookViewId="0">
      <pane xSplit="2" ySplit="4" topLeftCell="C5" activePane="bottomRight" state="frozen"/>
      <selection pane="topRight" activeCell="C1" sqref="C1"/>
      <selection pane="bottomLeft" activeCell="A5" sqref="A5"/>
      <selection pane="bottomRight" activeCell="E18" sqref="E18"/>
    </sheetView>
  </sheetViews>
  <sheetFormatPr defaultColWidth="8.85546875" defaultRowHeight="15" x14ac:dyDescent="0.25"/>
  <cols>
    <col min="1" max="1" width="49.42578125" style="11" bestFit="1" customWidth="1"/>
    <col min="2" max="2" width="5.42578125" style="11" bestFit="1" customWidth="1"/>
    <col min="3" max="39" width="11.42578125" style="11" customWidth="1"/>
    <col min="40" max="16384" width="8.85546875" style="11"/>
  </cols>
  <sheetData>
    <row r="1" spans="1:54" x14ac:dyDescent="0.25">
      <c r="A1" s="170"/>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row>
    <row r="2" spans="1:54" s="73" customFormat="1" ht="121.5" customHeight="1" x14ac:dyDescent="0.25">
      <c r="A2" s="16" t="s">
        <v>14</v>
      </c>
      <c r="B2" s="16" t="s">
        <v>0</v>
      </c>
      <c r="C2" s="128" t="s">
        <v>325</v>
      </c>
      <c r="D2" s="128" t="s">
        <v>326</v>
      </c>
      <c r="E2" s="128" t="s">
        <v>761</v>
      </c>
      <c r="F2" s="128" t="s">
        <v>272</v>
      </c>
      <c r="G2" s="128" t="s">
        <v>582</v>
      </c>
      <c r="H2" s="128" t="s">
        <v>583</v>
      </c>
      <c r="I2" s="128" t="s">
        <v>584</v>
      </c>
      <c r="J2" s="128" t="s">
        <v>585</v>
      </c>
      <c r="K2" s="128" t="s">
        <v>20</v>
      </c>
      <c r="L2" s="128" t="s">
        <v>21</v>
      </c>
      <c r="M2" s="128" t="s">
        <v>19</v>
      </c>
      <c r="N2" s="128" t="s">
        <v>78</v>
      </c>
      <c r="O2" s="128" t="s">
        <v>77</v>
      </c>
      <c r="P2" s="128" t="s">
        <v>25</v>
      </c>
      <c r="Q2" s="128" t="s">
        <v>768</v>
      </c>
      <c r="R2" s="128" t="s">
        <v>75</v>
      </c>
      <c r="S2" s="128" t="s">
        <v>31</v>
      </c>
      <c r="T2" s="128" t="s">
        <v>30</v>
      </c>
      <c r="U2" s="128" t="s">
        <v>76</v>
      </c>
      <c r="V2" s="128" t="s">
        <v>73</v>
      </c>
      <c r="W2" s="128" t="s">
        <v>327</v>
      </c>
      <c r="X2" s="128" t="s">
        <v>79</v>
      </c>
      <c r="Y2" s="128" t="s">
        <v>79</v>
      </c>
      <c r="Z2" s="128" t="s">
        <v>79</v>
      </c>
      <c r="AA2" s="128" t="s">
        <v>80</v>
      </c>
      <c r="AB2" s="128" t="s">
        <v>81</v>
      </c>
      <c r="AC2" s="128" t="s">
        <v>26</v>
      </c>
      <c r="AD2" s="128" t="s">
        <v>2</v>
      </c>
      <c r="AE2" s="128" t="s">
        <v>33</v>
      </c>
      <c r="AF2" s="128" t="s">
        <v>4</v>
      </c>
      <c r="AG2" s="128" t="s">
        <v>44</v>
      </c>
      <c r="AH2" s="128" t="s">
        <v>5</v>
      </c>
      <c r="AI2" s="128" t="s">
        <v>6</v>
      </c>
      <c r="AJ2" s="128" t="s">
        <v>23</v>
      </c>
      <c r="AK2" s="128" t="s">
        <v>22</v>
      </c>
      <c r="AL2" s="128" t="s">
        <v>84</v>
      </c>
      <c r="AM2" s="128" t="s">
        <v>7</v>
      </c>
      <c r="AN2" s="128" t="s">
        <v>275</v>
      </c>
      <c r="AO2" s="128" t="s">
        <v>276</v>
      </c>
      <c r="AP2" s="128" t="s">
        <v>277</v>
      </c>
      <c r="AQ2" s="128" t="s">
        <v>587</v>
      </c>
      <c r="AR2" s="128" t="s">
        <v>719</v>
      </c>
      <c r="AS2" s="128" t="s">
        <v>748</v>
      </c>
      <c r="AT2" s="128" t="s">
        <v>723</v>
      </c>
      <c r="AU2" s="128" t="s">
        <v>721</v>
      </c>
      <c r="AV2" s="128" t="s">
        <v>749</v>
      </c>
      <c r="AW2" s="128" t="s">
        <v>750</v>
      </c>
      <c r="AX2" s="128" t="s">
        <v>746</v>
      </c>
      <c r="AY2" s="128" t="s">
        <v>747</v>
      </c>
      <c r="AZ2" s="128" t="s">
        <v>752</v>
      </c>
      <c r="BA2" s="128" t="s">
        <v>754</v>
      </c>
      <c r="BB2" s="128" t="s">
        <v>758</v>
      </c>
    </row>
    <row r="3" spans="1:54" ht="25.5" x14ac:dyDescent="0.25">
      <c r="A3" s="68" t="s">
        <v>85</v>
      </c>
      <c r="B3" s="16"/>
      <c r="C3" s="129"/>
      <c r="D3" s="129" t="s">
        <v>760</v>
      </c>
      <c r="E3" s="129" t="s">
        <v>760</v>
      </c>
      <c r="F3" s="129">
        <v>2014</v>
      </c>
      <c r="G3" s="129">
        <v>2014</v>
      </c>
      <c r="H3" s="129">
        <v>2014</v>
      </c>
      <c r="I3" s="129">
        <v>2014</v>
      </c>
      <c r="J3" s="129">
        <v>2014</v>
      </c>
      <c r="K3" s="129">
        <v>2013</v>
      </c>
      <c r="L3" s="129">
        <v>2012</v>
      </c>
      <c r="M3" s="129">
        <v>2013</v>
      </c>
      <c r="N3" s="129">
        <v>2012</v>
      </c>
      <c r="O3" s="129">
        <v>2013</v>
      </c>
      <c r="P3" s="129">
        <v>2012</v>
      </c>
      <c r="Q3" s="129">
        <v>2012</v>
      </c>
      <c r="R3" s="129">
        <v>2012</v>
      </c>
      <c r="S3" s="129">
        <v>2012</v>
      </c>
      <c r="T3" s="129">
        <v>2012</v>
      </c>
      <c r="U3" s="129">
        <v>2012</v>
      </c>
      <c r="V3" s="129">
        <v>2012</v>
      </c>
      <c r="W3" s="129" t="s">
        <v>740</v>
      </c>
      <c r="X3" s="129">
        <v>2012</v>
      </c>
      <c r="Y3" s="129">
        <v>2013</v>
      </c>
      <c r="Z3" s="129">
        <v>2014</v>
      </c>
      <c r="AA3" s="129">
        <v>2014</v>
      </c>
      <c r="AB3" s="129">
        <v>2014</v>
      </c>
      <c r="AC3" s="129">
        <v>2014</v>
      </c>
      <c r="AD3" s="129">
        <v>2013</v>
      </c>
      <c r="AE3" s="129">
        <v>2014</v>
      </c>
      <c r="AF3" s="129">
        <v>2010</v>
      </c>
      <c r="AG3" s="129" t="s">
        <v>45</v>
      </c>
      <c r="AH3" s="129">
        <v>2013</v>
      </c>
      <c r="AI3" s="129">
        <v>2013</v>
      </c>
      <c r="AJ3" s="129">
        <v>2011</v>
      </c>
      <c r="AK3" s="129">
        <v>2011</v>
      </c>
      <c r="AL3" s="129">
        <v>2013</v>
      </c>
      <c r="AM3" s="129">
        <v>2012</v>
      </c>
      <c r="AN3" s="129" t="s">
        <v>278</v>
      </c>
      <c r="AO3" s="129" t="s">
        <v>279</v>
      </c>
      <c r="AP3" s="129" t="s">
        <v>279</v>
      </c>
      <c r="AQ3" s="129" t="s">
        <v>588</v>
      </c>
      <c r="AR3" s="129"/>
      <c r="AS3" s="129"/>
      <c r="AT3" s="129"/>
      <c r="AU3" s="129"/>
      <c r="AV3" s="129">
        <v>2011</v>
      </c>
      <c r="AW3" s="129" t="s">
        <v>751</v>
      </c>
      <c r="AX3" s="129"/>
      <c r="AY3" s="129"/>
      <c r="AZ3" s="129" t="s">
        <v>753</v>
      </c>
      <c r="BA3" s="129"/>
      <c r="BB3" s="152">
        <v>2013</v>
      </c>
    </row>
    <row r="4" spans="1:54" ht="51" x14ac:dyDescent="0.25">
      <c r="A4" s="87" t="s">
        <v>54</v>
      </c>
      <c r="B4" s="16"/>
      <c r="C4" s="129" t="s">
        <v>762</v>
      </c>
      <c r="D4" s="129" t="s">
        <v>762</v>
      </c>
      <c r="E4" s="129" t="s">
        <v>68</v>
      </c>
      <c r="F4" s="129" t="s">
        <v>55</v>
      </c>
      <c r="G4" s="129" t="s">
        <v>56</v>
      </c>
      <c r="H4" s="129" t="s">
        <v>56</v>
      </c>
      <c r="I4" s="129" t="s">
        <v>56</v>
      </c>
      <c r="J4" s="129" t="s">
        <v>56</v>
      </c>
      <c r="K4" s="129" t="s">
        <v>56</v>
      </c>
      <c r="L4" s="129" t="s">
        <v>56</v>
      </c>
      <c r="M4" s="129" t="s">
        <v>56</v>
      </c>
      <c r="N4" s="129" t="s">
        <v>56</v>
      </c>
      <c r="O4" s="129" t="s">
        <v>72</v>
      </c>
      <c r="P4" s="129" t="s">
        <v>68</v>
      </c>
      <c r="Q4" s="129" t="s">
        <v>70</v>
      </c>
      <c r="R4" s="129" t="s">
        <v>68</v>
      </c>
      <c r="S4" s="129" t="s">
        <v>71</v>
      </c>
      <c r="T4" s="129" t="s">
        <v>68</v>
      </c>
      <c r="U4" s="129" t="s">
        <v>82</v>
      </c>
      <c r="V4" s="129" t="s">
        <v>71</v>
      </c>
      <c r="W4" s="129" t="s">
        <v>55</v>
      </c>
      <c r="X4" s="129" t="s">
        <v>55</v>
      </c>
      <c r="Y4" s="129" t="s">
        <v>55</v>
      </c>
      <c r="Z4" s="129" t="s">
        <v>55</v>
      </c>
      <c r="AA4" s="129" t="s">
        <v>55</v>
      </c>
      <c r="AB4" s="129" t="s">
        <v>55</v>
      </c>
      <c r="AC4" s="129" t="s">
        <v>55</v>
      </c>
      <c r="AD4" s="129" t="s">
        <v>56</v>
      </c>
      <c r="AE4" s="129" t="s">
        <v>56</v>
      </c>
      <c r="AF4" s="129" t="s">
        <v>68</v>
      </c>
      <c r="AG4" s="129" t="s">
        <v>68</v>
      </c>
      <c r="AH4" s="129" t="s">
        <v>68</v>
      </c>
      <c r="AI4" s="129" t="s">
        <v>769</v>
      </c>
      <c r="AJ4" s="129" t="s">
        <v>68</v>
      </c>
      <c r="AK4" s="129" t="s">
        <v>68</v>
      </c>
      <c r="AL4" s="129" t="s">
        <v>82</v>
      </c>
      <c r="AM4" s="129" t="s">
        <v>55</v>
      </c>
      <c r="AN4" s="129" t="s">
        <v>262</v>
      </c>
      <c r="AO4" s="129" t="s">
        <v>262</v>
      </c>
      <c r="AP4" s="129" t="s">
        <v>262</v>
      </c>
      <c r="AQ4" s="129" t="s">
        <v>589</v>
      </c>
      <c r="AR4" s="129"/>
      <c r="AS4" s="129"/>
      <c r="AT4" s="129"/>
      <c r="AU4" s="129"/>
      <c r="AV4" s="129"/>
      <c r="AW4" s="129"/>
      <c r="AX4" s="129"/>
      <c r="AY4" s="129"/>
      <c r="AZ4" s="129" t="s">
        <v>755</v>
      </c>
      <c r="BA4" s="129" t="s">
        <v>68</v>
      </c>
      <c r="BB4" s="129" t="s">
        <v>755</v>
      </c>
    </row>
    <row r="5" spans="1:54" x14ac:dyDescent="0.25">
      <c r="A5" s="125" t="s">
        <v>571</v>
      </c>
      <c r="B5" s="126" t="s">
        <v>572</v>
      </c>
      <c r="C5" s="130">
        <v>3634</v>
      </c>
      <c r="D5" s="130">
        <v>122500</v>
      </c>
      <c r="E5" s="127">
        <v>0.24</v>
      </c>
      <c r="F5" s="127"/>
      <c r="G5" s="127">
        <v>0.60932962229525856</v>
      </c>
      <c r="H5" s="127">
        <v>0.22070039012513074</v>
      </c>
      <c r="I5" s="130">
        <v>3</v>
      </c>
      <c r="J5" s="130">
        <v>1</v>
      </c>
      <c r="K5" s="127">
        <v>0.38944349512754167</v>
      </c>
      <c r="L5" s="127">
        <v>0.44169619999999998</v>
      </c>
      <c r="M5" s="127">
        <v>0.50136646184408429</v>
      </c>
      <c r="N5" s="127">
        <v>33.270000000000003</v>
      </c>
      <c r="O5" s="131">
        <v>82.9</v>
      </c>
      <c r="P5" s="131">
        <v>35.200000000000003</v>
      </c>
      <c r="Q5" s="131" t="s">
        <v>586</v>
      </c>
      <c r="R5" s="130">
        <v>93</v>
      </c>
      <c r="S5" s="130">
        <v>199</v>
      </c>
      <c r="T5" s="131">
        <v>1.3</v>
      </c>
      <c r="U5" s="127">
        <v>44.64</v>
      </c>
      <c r="V5" s="131">
        <v>73</v>
      </c>
      <c r="W5" s="130">
        <v>0</v>
      </c>
      <c r="X5" s="130">
        <v>0</v>
      </c>
      <c r="Y5" s="130">
        <v>0</v>
      </c>
      <c r="Z5" s="130">
        <v>12682</v>
      </c>
      <c r="AA5" s="130">
        <v>78900</v>
      </c>
      <c r="AB5" s="130">
        <v>45124</v>
      </c>
      <c r="AC5" s="130">
        <v>2126</v>
      </c>
      <c r="AD5" s="127">
        <v>-1.0748013257980347</v>
      </c>
      <c r="AE5" s="130">
        <v>20</v>
      </c>
      <c r="AF5" s="131" t="s">
        <v>586</v>
      </c>
      <c r="AG5" s="127">
        <v>86.947869999999995</v>
      </c>
      <c r="AH5" s="127">
        <v>1.3</v>
      </c>
      <c r="AI5" s="127">
        <v>24.962588063683299</v>
      </c>
      <c r="AJ5" s="131">
        <v>47.5</v>
      </c>
      <c r="AK5" s="131">
        <v>75.3</v>
      </c>
      <c r="AL5" s="130">
        <v>604.96400000000006</v>
      </c>
      <c r="AM5" s="130">
        <v>10162532</v>
      </c>
      <c r="AN5" s="127">
        <v>0.28000000000000003</v>
      </c>
      <c r="AO5" s="127">
        <v>0</v>
      </c>
      <c r="AP5" s="127">
        <v>12.78</v>
      </c>
      <c r="AQ5" s="127">
        <v>44</v>
      </c>
      <c r="AR5" s="127" t="s">
        <v>586</v>
      </c>
      <c r="AS5" s="130">
        <v>2905</v>
      </c>
      <c r="AT5" s="127">
        <v>18</v>
      </c>
      <c r="AU5" s="127">
        <v>65</v>
      </c>
      <c r="AV5" s="127">
        <v>9.6432399525301027E-2</v>
      </c>
      <c r="AW5" s="127">
        <v>70</v>
      </c>
      <c r="AX5" s="127">
        <v>0.06</v>
      </c>
      <c r="AY5" s="127">
        <v>0.17</v>
      </c>
      <c r="AZ5" s="127">
        <v>19.471216166086581</v>
      </c>
      <c r="BA5" s="127">
        <v>4.6966760000000001</v>
      </c>
      <c r="BB5" s="127">
        <v>1.791834515252207</v>
      </c>
    </row>
    <row r="6" spans="1:54" x14ac:dyDescent="0.25">
      <c r="A6" s="125" t="s">
        <v>362</v>
      </c>
      <c r="B6" s="126" t="s">
        <v>573</v>
      </c>
      <c r="C6" s="130">
        <v>212</v>
      </c>
      <c r="D6" s="130">
        <v>37320.32</v>
      </c>
      <c r="E6" s="127">
        <v>0.24</v>
      </c>
      <c r="F6" s="127"/>
      <c r="G6" s="127">
        <v>0.11080899269476627</v>
      </c>
      <c r="H6" s="127">
        <v>6.0066573081712241E-3</v>
      </c>
      <c r="I6" s="130">
        <v>0</v>
      </c>
      <c r="J6" s="130">
        <v>0</v>
      </c>
      <c r="K6" s="127">
        <v>0.46741930875463245</v>
      </c>
      <c r="L6" s="127">
        <v>0.12749469999999999</v>
      </c>
      <c r="M6" s="127" t="s">
        <v>586</v>
      </c>
      <c r="N6" s="127">
        <v>42</v>
      </c>
      <c r="O6" s="131">
        <v>69.599999999999994</v>
      </c>
      <c r="P6" s="131">
        <v>29.8</v>
      </c>
      <c r="Q6" s="131">
        <v>2.2999999999999998</v>
      </c>
      <c r="R6" s="130">
        <v>83</v>
      </c>
      <c r="S6" s="130">
        <v>897</v>
      </c>
      <c r="T6" s="131">
        <v>1.2</v>
      </c>
      <c r="U6" s="127">
        <v>231.39999</v>
      </c>
      <c r="V6" s="131">
        <v>1</v>
      </c>
      <c r="W6" s="130"/>
      <c r="X6" s="130">
        <v>0</v>
      </c>
      <c r="Y6" s="130">
        <v>0</v>
      </c>
      <c r="Z6" s="130">
        <v>0</v>
      </c>
      <c r="AA6" s="130">
        <v>0</v>
      </c>
      <c r="AB6" s="130">
        <v>19791</v>
      </c>
      <c r="AC6" s="130">
        <v>0</v>
      </c>
      <c r="AD6" s="127">
        <v>-1.1845608949661255</v>
      </c>
      <c r="AE6" s="130">
        <v>34</v>
      </c>
      <c r="AF6" s="131" t="s">
        <v>586</v>
      </c>
      <c r="AG6" s="127" t="s">
        <v>586</v>
      </c>
      <c r="AH6" s="127">
        <v>9.5</v>
      </c>
      <c r="AI6" s="127">
        <v>27.965866757089898</v>
      </c>
      <c r="AJ6" s="131">
        <v>61.4</v>
      </c>
      <c r="AK6" s="131">
        <v>92.1</v>
      </c>
      <c r="AL6" s="130">
        <v>2641.4989999999998</v>
      </c>
      <c r="AM6" s="130">
        <v>872932</v>
      </c>
      <c r="AN6" s="127">
        <v>7.0000000000000007E-2</v>
      </c>
      <c r="AO6" s="127">
        <v>1.1000000000000001</v>
      </c>
      <c r="AP6" s="127">
        <v>1.6600000000000001</v>
      </c>
      <c r="AQ6" s="127">
        <v>14.000000060000001</v>
      </c>
      <c r="AR6" s="127" t="s">
        <v>586</v>
      </c>
      <c r="AS6" s="130">
        <v>885</v>
      </c>
      <c r="AT6" s="127">
        <v>48</v>
      </c>
      <c r="AU6" s="127">
        <v>45</v>
      </c>
      <c r="AV6" s="127">
        <v>2.3622623859322549E-3</v>
      </c>
      <c r="AW6" s="127" t="s">
        <v>586</v>
      </c>
      <c r="AX6" s="127">
        <v>1.17</v>
      </c>
      <c r="AY6" s="127">
        <v>15.94</v>
      </c>
      <c r="AZ6" s="127">
        <v>28.930992771304698</v>
      </c>
      <c r="BA6" s="127">
        <v>5.7522989999999998</v>
      </c>
      <c r="BB6" s="127">
        <v>2.4476186428563143</v>
      </c>
    </row>
    <row r="7" spans="1:54" x14ac:dyDescent="0.25">
      <c r="A7" s="125" t="s">
        <v>372</v>
      </c>
      <c r="B7" s="126" t="s">
        <v>574</v>
      </c>
      <c r="C7" s="130">
        <v>706</v>
      </c>
      <c r="D7" s="130">
        <v>224000</v>
      </c>
      <c r="E7" s="127">
        <v>0.12</v>
      </c>
      <c r="F7" s="127"/>
      <c r="G7" s="127">
        <v>0.27203794915232404</v>
      </c>
      <c r="H7" s="127">
        <v>2.0043878249094434E-2</v>
      </c>
      <c r="I7" s="130">
        <v>0</v>
      </c>
      <c r="J7" s="130">
        <v>0</v>
      </c>
      <c r="K7" s="127">
        <v>0.3809510417112415</v>
      </c>
      <c r="L7" s="127" t="s">
        <v>586</v>
      </c>
      <c r="M7" s="127" t="s">
        <v>586</v>
      </c>
      <c r="N7" s="127" t="s">
        <v>586</v>
      </c>
      <c r="O7" s="131">
        <v>49.9</v>
      </c>
      <c r="P7" s="131">
        <v>34.5</v>
      </c>
      <c r="Q7" s="131" t="s">
        <v>586</v>
      </c>
      <c r="R7" s="130">
        <v>99</v>
      </c>
      <c r="S7" s="130">
        <v>152</v>
      </c>
      <c r="T7" s="131">
        <v>0.7</v>
      </c>
      <c r="U7" s="127">
        <v>16.510000000000002</v>
      </c>
      <c r="V7" s="131">
        <v>1</v>
      </c>
      <c r="W7" s="131" t="s">
        <v>586</v>
      </c>
      <c r="X7" s="130">
        <v>0</v>
      </c>
      <c r="Y7" s="130">
        <v>0</v>
      </c>
      <c r="Z7" s="130">
        <v>0</v>
      </c>
      <c r="AA7" s="130">
        <v>10000</v>
      </c>
      <c r="AB7" s="130">
        <v>3049</v>
      </c>
      <c r="AC7" s="130">
        <v>0</v>
      </c>
      <c r="AD7" s="127">
        <v>-1.5433948040008545</v>
      </c>
      <c r="AE7" s="130">
        <v>18</v>
      </c>
      <c r="AF7" s="131">
        <v>32</v>
      </c>
      <c r="AG7" s="127">
        <v>68.937439999999995</v>
      </c>
      <c r="AH7" s="127">
        <v>0.9</v>
      </c>
      <c r="AI7" s="127">
        <v>5.6029754615999803</v>
      </c>
      <c r="AJ7" s="131">
        <v>13.2</v>
      </c>
      <c r="AK7" s="131">
        <v>60.2</v>
      </c>
      <c r="AL7" s="130">
        <v>735.45899999999995</v>
      </c>
      <c r="AM7" s="130">
        <v>6333135</v>
      </c>
      <c r="AN7" s="127">
        <v>0</v>
      </c>
      <c r="AO7" s="127">
        <v>0</v>
      </c>
      <c r="AP7" s="127">
        <v>0.55999999999999994</v>
      </c>
      <c r="AQ7" s="127">
        <v>2.99999993</v>
      </c>
      <c r="AR7" s="127" t="s">
        <v>586</v>
      </c>
      <c r="AS7" s="130">
        <v>1460</v>
      </c>
      <c r="AT7" s="127">
        <v>15</v>
      </c>
      <c r="AU7" s="127">
        <v>77</v>
      </c>
      <c r="AV7" s="127">
        <v>0.11630156963295224</v>
      </c>
      <c r="AW7" s="127">
        <v>76</v>
      </c>
      <c r="AX7" s="127">
        <v>0.45</v>
      </c>
      <c r="AY7" s="127">
        <v>2.6</v>
      </c>
      <c r="AZ7" s="127">
        <v>13.889682575372875</v>
      </c>
      <c r="BA7" s="127" t="s">
        <v>586</v>
      </c>
      <c r="BB7" s="127" t="s">
        <v>586</v>
      </c>
    </row>
    <row r="8" spans="1:54" x14ac:dyDescent="0.25">
      <c r="A8" s="125" t="s">
        <v>385</v>
      </c>
      <c r="B8" s="126" t="s">
        <v>575</v>
      </c>
      <c r="C8" s="130">
        <v>62763</v>
      </c>
      <c r="D8" s="130">
        <v>1839675.16</v>
      </c>
      <c r="E8" s="127">
        <v>0.4</v>
      </c>
      <c r="F8" s="127"/>
      <c r="G8" s="127">
        <v>0.79988335919464282</v>
      </c>
      <c r="H8" s="127">
        <v>0.7308292773426468</v>
      </c>
      <c r="I8" s="130">
        <v>3</v>
      </c>
      <c r="J8" s="130">
        <v>3</v>
      </c>
      <c r="K8" s="127">
        <v>0.43513944935418319</v>
      </c>
      <c r="L8" s="127">
        <v>0.53713129999999998</v>
      </c>
      <c r="M8" s="127">
        <v>0.54702025329520598</v>
      </c>
      <c r="N8" s="127">
        <v>33.6</v>
      </c>
      <c r="O8" s="131">
        <v>64.400000000000006</v>
      </c>
      <c r="P8" s="131">
        <v>29.2</v>
      </c>
      <c r="Q8" s="131">
        <v>0.3</v>
      </c>
      <c r="R8" s="130">
        <v>66</v>
      </c>
      <c r="S8" s="130">
        <v>224</v>
      </c>
      <c r="T8" s="131">
        <v>1.3</v>
      </c>
      <c r="U8" s="127">
        <v>43.65</v>
      </c>
      <c r="V8" s="131">
        <v>44</v>
      </c>
      <c r="W8" s="130">
        <v>3200000</v>
      </c>
      <c r="X8" s="130">
        <v>5805679</v>
      </c>
      <c r="Y8" s="130">
        <v>6500</v>
      </c>
      <c r="Z8" s="130">
        <v>0</v>
      </c>
      <c r="AA8" s="130">
        <v>316000</v>
      </c>
      <c r="AB8" s="130">
        <v>619855</v>
      </c>
      <c r="AC8" s="130">
        <v>29</v>
      </c>
      <c r="AD8" s="127">
        <v>-0.51946473121643066</v>
      </c>
      <c r="AE8" s="130">
        <v>33</v>
      </c>
      <c r="AF8" s="131">
        <v>23</v>
      </c>
      <c r="AG8" s="127">
        <v>38.995980000000003</v>
      </c>
      <c r="AH8" s="127">
        <v>1.9</v>
      </c>
      <c r="AI8" s="127">
        <v>27.254685392750702</v>
      </c>
      <c r="AJ8" s="131">
        <v>23.6</v>
      </c>
      <c r="AK8" s="131">
        <v>51.5</v>
      </c>
      <c r="AL8" s="130">
        <v>1092.2840000000001</v>
      </c>
      <c r="AM8" s="130">
        <v>94100756</v>
      </c>
      <c r="AN8" s="127">
        <v>0.53</v>
      </c>
      <c r="AO8" s="127">
        <v>2.78</v>
      </c>
      <c r="AP8" s="127">
        <v>34.090000000000003</v>
      </c>
      <c r="AQ8" s="127">
        <v>4</v>
      </c>
      <c r="AR8" s="127">
        <f>7500000/AM8*100</f>
        <v>7.9701803883488465</v>
      </c>
      <c r="AS8" s="130">
        <v>2180</v>
      </c>
      <c r="AT8" s="127">
        <v>16</v>
      </c>
      <c r="AU8" s="127">
        <v>77</v>
      </c>
      <c r="AV8" s="127">
        <v>0.16293210581675671</v>
      </c>
      <c r="AW8" s="127">
        <v>79.3</v>
      </c>
      <c r="AX8" s="127">
        <v>0.55000000000000004</v>
      </c>
      <c r="AY8" s="127">
        <v>2.6</v>
      </c>
      <c r="AZ8" s="127">
        <v>18.04046713</v>
      </c>
      <c r="BA8" s="127" t="s">
        <v>586</v>
      </c>
      <c r="BB8" s="127">
        <v>1.441584553461664</v>
      </c>
    </row>
    <row r="9" spans="1:54" x14ac:dyDescent="0.25">
      <c r="A9" s="125" t="s">
        <v>408</v>
      </c>
      <c r="B9" s="126" t="s">
        <v>576</v>
      </c>
      <c r="C9" s="130">
        <v>25808</v>
      </c>
      <c r="D9" s="130">
        <v>1910000</v>
      </c>
      <c r="E9" s="127">
        <v>0.4</v>
      </c>
      <c r="F9" s="127"/>
      <c r="G9" s="127">
        <v>0.90477494265010039</v>
      </c>
      <c r="H9" s="127">
        <v>0.61350773899852462</v>
      </c>
      <c r="I9" s="130">
        <v>3</v>
      </c>
      <c r="J9" s="130">
        <v>4</v>
      </c>
      <c r="K9" s="127">
        <v>0.53511558027653305</v>
      </c>
      <c r="L9" s="127">
        <v>0.2264352</v>
      </c>
      <c r="M9" s="127">
        <v>0.54797434530987266</v>
      </c>
      <c r="N9" s="127">
        <v>47.68</v>
      </c>
      <c r="O9" s="131">
        <v>70.7</v>
      </c>
      <c r="P9" s="131">
        <v>16.399999999999999</v>
      </c>
      <c r="Q9" s="131">
        <v>1.8</v>
      </c>
      <c r="R9" s="130">
        <v>93</v>
      </c>
      <c r="S9" s="130">
        <v>299</v>
      </c>
      <c r="T9" s="131">
        <v>6.1</v>
      </c>
      <c r="U9" s="127">
        <v>83.51</v>
      </c>
      <c r="V9" s="131">
        <v>81</v>
      </c>
      <c r="W9" s="130">
        <v>1500000</v>
      </c>
      <c r="X9" s="130">
        <v>4030670</v>
      </c>
      <c r="Y9" s="130">
        <v>110799</v>
      </c>
      <c r="Z9" s="130">
        <v>0</v>
      </c>
      <c r="AA9" s="130">
        <v>412000</v>
      </c>
      <c r="AB9" s="130">
        <v>549373</v>
      </c>
      <c r="AC9" s="130">
        <v>0</v>
      </c>
      <c r="AD9" s="127">
        <v>-0.48642918467521667</v>
      </c>
      <c r="AE9" s="130">
        <v>25</v>
      </c>
      <c r="AF9" s="131">
        <v>18.100000000000001</v>
      </c>
      <c r="AG9" s="127">
        <v>72.157030000000006</v>
      </c>
      <c r="AH9" s="127">
        <v>39</v>
      </c>
      <c r="AI9" s="127">
        <v>71.764045522164096</v>
      </c>
      <c r="AJ9" s="131">
        <v>29.6</v>
      </c>
      <c r="AK9" s="131">
        <v>61.7</v>
      </c>
      <c r="AL9" s="130">
        <v>1740.578</v>
      </c>
      <c r="AM9" s="130">
        <v>44353691</v>
      </c>
      <c r="AN9" s="127">
        <v>0</v>
      </c>
      <c r="AO9" s="127">
        <v>0</v>
      </c>
      <c r="AP9" s="127">
        <v>17.079999999999998</v>
      </c>
      <c r="AQ9" s="127">
        <v>10.673708151696331</v>
      </c>
      <c r="AR9" s="127">
        <f>300000/AM9*100</f>
        <v>0.67638113815601053</v>
      </c>
      <c r="AS9" s="130">
        <v>2255</v>
      </c>
      <c r="AT9" s="127">
        <v>33</v>
      </c>
      <c r="AU9" s="127">
        <v>40</v>
      </c>
      <c r="AV9" s="127">
        <v>0.13086547692816658</v>
      </c>
      <c r="AW9" s="127">
        <v>75</v>
      </c>
      <c r="AX9" s="127">
        <v>3.39</v>
      </c>
      <c r="AY9" s="127">
        <v>33.82</v>
      </c>
      <c r="AZ9" s="127">
        <v>36.980530486339788</v>
      </c>
      <c r="BA9" s="127">
        <v>66.652600000000007</v>
      </c>
      <c r="BB9" s="127">
        <v>2.410965851989253</v>
      </c>
    </row>
    <row r="10" spans="1:54" x14ac:dyDescent="0.25">
      <c r="A10" s="125" t="s">
        <v>456</v>
      </c>
      <c r="B10" s="126" t="s">
        <v>577</v>
      </c>
      <c r="C10" s="130">
        <v>7446</v>
      </c>
      <c r="D10" s="130">
        <v>81461.8</v>
      </c>
      <c r="E10" s="127">
        <v>0.16</v>
      </c>
      <c r="F10" s="127"/>
      <c r="G10" s="127">
        <v>0.15185686342818541</v>
      </c>
      <c r="H10" s="127">
        <v>3.9777356908091928E-2</v>
      </c>
      <c r="I10" s="130">
        <v>3</v>
      </c>
      <c r="J10" s="130">
        <v>0</v>
      </c>
      <c r="K10" s="127">
        <v>0.50572311928396541</v>
      </c>
      <c r="L10" s="127">
        <v>0.3515913</v>
      </c>
      <c r="M10" s="127">
        <v>0.41004598182594243</v>
      </c>
      <c r="N10" s="127">
        <v>50.8</v>
      </c>
      <c r="O10" s="131">
        <v>52</v>
      </c>
      <c r="P10" s="131">
        <v>11.7</v>
      </c>
      <c r="Q10" s="131">
        <v>0.6</v>
      </c>
      <c r="R10" s="130">
        <v>97</v>
      </c>
      <c r="S10" s="130">
        <v>114</v>
      </c>
      <c r="T10" s="131">
        <v>2.9</v>
      </c>
      <c r="U10" s="127">
        <v>144.34</v>
      </c>
      <c r="V10" s="131">
        <v>40</v>
      </c>
      <c r="W10" s="130"/>
      <c r="X10" s="130">
        <v>11160</v>
      </c>
      <c r="Y10" s="130">
        <v>0</v>
      </c>
      <c r="Z10" s="130">
        <v>0</v>
      </c>
      <c r="AA10" s="130">
        <v>0</v>
      </c>
      <c r="AB10" s="130">
        <v>72988</v>
      </c>
      <c r="AC10" s="130">
        <v>7803</v>
      </c>
      <c r="AD10" s="127">
        <v>-5.2136623708065599E-5</v>
      </c>
      <c r="AE10" s="130">
        <v>49</v>
      </c>
      <c r="AF10" s="131" t="s">
        <v>586</v>
      </c>
      <c r="AG10" s="127">
        <v>65.852270000000004</v>
      </c>
      <c r="AH10" s="127">
        <v>8.6999999999999993</v>
      </c>
      <c r="AI10" s="127">
        <v>56.800793986543702</v>
      </c>
      <c r="AJ10" s="131">
        <v>63.8</v>
      </c>
      <c r="AK10" s="131">
        <v>70.7</v>
      </c>
      <c r="AL10" s="130">
        <v>1334.3140000000001</v>
      </c>
      <c r="AM10" s="130">
        <v>11776522</v>
      </c>
      <c r="AN10" s="127">
        <v>0.01</v>
      </c>
      <c r="AO10" s="127">
        <v>0</v>
      </c>
      <c r="AP10" s="127">
        <v>0.69000000000000006</v>
      </c>
      <c r="AQ10" s="127">
        <v>53</v>
      </c>
      <c r="AR10" s="127" t="s">
        <v>586</v>
      </c>
      <c r="AS10" s="130">
        <v>3245</v>
      </c>
      <c r="AT10" s="127">
        <v>14</v>
      </c>
      <c r="AU10" s="127">
        <v>73</v>
      </c>
      <c r="AV10" s="127">
        <v>0.10947285678841634</v>
      </c>
      <c r="AW10" s="127">
        <v>73</v>
      </c>
      <c r="AX10" s="127">
        <v>0.82</v>
      </c>
      <c r="AY10" s="127">
        <v>4.76</v>
      </c>
      <c r="AZ10" s="127">
        <v>11.2</v>
      </c>
      <c r="BA10" s="127">
        <v>2.9444819999999998</v>
      </c>
      <c r="BB10" s="127">
        <v>2.2609628800145072</v>
      </c>
    </row>
    <row r="11" spans="1:54" x14ac:dyDescent="0.25">
      <c r="A11" s="125" t="s">
        <v>467</v>
      </c>
      <c r="B11" s="126" t="s">
        <v>578</v>
      </c>
      <c r="C11" s="130">
        <v>26525</v>
      </c>
      <c r="D11" s="130">
        <v>482000</v>
      </c>
      <c r="E11" s="127">
        <v>0.28000000000000003</v>
      </c>
      <c r="F11" s="127"/>
      <c r="G11" s="127">
        <v>0.95514141378416306</v>
      </c>
      <c r="H11" s="127">
        <v>0.83386248415975284</v>
      </c>
      <c r="I11" s="130">
        <v>5</v>
      </c>
      <c r="J11" s="130">
        <v>3</v>
      </c>
      <c r="K11" s="127" t="s">
        <v>586</v>
      </c>
      <c r="L11" s="127">
        <v>0.49981550000000002</v>
      </c>
      <c r="M11" s="127" t="s">
        <v>586</v>
      </c>
      <c r="N11" s="127" t="s">
        <v>586</v>
      </c>
      <c r="O11" s="131">
        <v>145.6</v>
      </c>
      <c r="P11" s="131">
        <v>32.799999999999997</v>
      </c>
      <c r="Q11" s="131">
        <v>0.4</v>
      </c>
      <c r="R11" s="130">
        <v>46</v>
      </c>
      <c r="S11" s="130">
        <v>581</v>
      </c>
      <c r="T11" s="131">
        <v>0.5</v>
      </c>
      <c r="U11" s="127" t="s">
        <v>586</v>
      </c>
      <c r="V11" s="131">
        <v>65</v>
      </c>
      <c r="W11" s="130">
        <v>731000</v>
      </c>
      <c r="X11" s="130">
        <v>3032200</v>
      </c>
      <c r="Y11" s="130">
        <v>50000</v>
      </c>
      <c r="Z11" s="130">
        <v>0</v>
      </c>
      <c r="AA11" s="130">
        <v>1100000</v>
      </c>
      <c r="AB11" s="130">
        <v>2425</v>
      </c>
      <c r="AC11" s="130">
        <v>36100</v>
      </c>
      <c r="AD11" s="127">
        <v>-2.2076852321624756</v>
      </c>
      <c r="AE11" s="130">
        <v>8</v>
      </c>
      <c r="AF11" s="131" t="s">
        <v>586</v>
      </c>
      <c r="AG11" s="127" t="s">
        <v>586</v>
      </c>
      <c r="AH11" s="127">
        <v>1.5</v>
      </c>
      <c r="AI11" s="127">
        <v>49.382678408621999</v>
      </c>
      <c r="AJ11" s="131">
        <v>23.6</v>
      </c>
      <c r="AK11" s="131">
        <v>31.7</v>
      </c>
      <c r="AL11" s="130">
        <v>600</v>
      </c>
      <c r="AM11" s="130">
        <v>10495583</v>
      </c>
      <c r="AN11" s="127">
        <v>0.4</v>
      </c>
      <c r="AO11" s="127">
        <v>0</v>
      </c>
      <c r="AP11" s="127">
        <v>8.48</v>
      </c>
      <c r="AQ11" s="127">
        <v>2.99999993</v>
      </c>
      <c r="AR11" s="127">
        <f>780000/$AM$11*100</f>
        <v>7.4316976960689081</v>
      </c>
      <c r="AS11" s="130" t="s">
        <v>586</v>
      </c>
      <c r="AT11" s="127">
        <v>44</v>
      </c>
      <c r="AU11" s="127">
        <v>45</v>
      </c>
      <c r="AV11" s="127">
        <v>0.1110224837687652</v>
      </c>
      <c r="AW11" s="127">
        <v>71</v>
      </c>
      <c r="AX11" s="127" t="s">
        <v>586</v>
      </c>
      <c r="AY11" s="127" t="s">
        <v>586</v>
      </c>
      <c r="AZ11" s="127">
        <v>7.1</v>
      </c>
      <c r="BA11" s="127">
        <v>32.206940000000003</v>
      </c>
      <c r="BB11" s="127">
        <v>20</v>
      </c>
    </row>
    <row r="12" spans="1:54" x14ac:dyDescent="0.25">
      <c r="A12" s="125" t="s">
        <v>504</v>
      </c>
      <c r="B12" s="126" t="s">
        <v>580</v>
      </c>
      <c r="C12" s="130">
        <v>12345</v>
      </c>
      <c r="D12" s="130" t="s">
        <v>586</v>
      </c>
      <c r="E12" s="127">
        <v>0</v>
      </c>
      <c r="F12" s="127"/>
      <c r="G12" s="127">
        <v>0.93574022030972204</v>
      </c>
      <c r="H12" s="127">
        <v>0.89198872211319469</v>
      </c>
      <c r="I12" s="130">
        <v>0</v>
      </c>
      <c r="J12" s="130">
        <v>5</v>
      </c>
      <c r="K12" s="127" t="s">
        <v>586</v>
      </c>
      <c r="L12" s="127" t="s">
        <v>586</v>
      </c>
      <c r="M12" s="127" t="s">
        <v>586</v>
      </c>
      <c r="N12" s="127">
        <v>45.53</v>
      </c>
      <c r="O12" s="131">
        <v>99.2</v>
      </c>
      <c r="P12" s="131" t="s">
        <v>586</v>
      </c>
      <c r="Q12" s="131">
        <f>0.15249946</f>
        <v>0.15249946</v>
      </c>
      <c r="R12" s="130">
        <v>62</v>
      </c>
      <c r="S12" s="130">
        <v>257</v>
      </c>
      <c r="T12" s="131">
        <v>2.7</v>
      </c>
      <c r="U12" s="127">
        <v>32.67</v>
      </c>
      <c r="V12" s="131" t="s">
        <v>586</v>
      </c>
      <c r="W12" s="130">
        <v>2500000</v>
      </c>
      <c r="X12" s="130">
        <v>157000</v>
      </c>
      <c r="Y12" s="130">
        <v>0</v>
      </c>
      <c r="Z12" s="130">
        <v>0</v>
      </c>
      <c r="AA12" s="130">
        <v>1428800</v>
      </c>
      <c r="AB12" s="130">
        <v>227953</v>
      </c>
      <c r="AC12" s="130">
        <v>394</v>
      </c>
      <c r="AD12" s="127">
        <v>-1.4854505062103271</v>
      </c>
      <c r="AE12" s="130">
        <v>15</v>
      </c>
      <c r="AF12" s="131" t="s">
        <v>586</v>
      </c>
      <c r="AG12" s="127" t="s">
        <v>586</v>
      </c>
      <c r="AH12" s="127" t="s">
        <v>586</v>
      </c>
      <c r="AI12" s="127">
        <v>25.258359623210399</v>
      </c>
      <c r="AJ12" s="131">
        <v>8.9</v>
      </c>
      <c r="AK12" s="131">
        <v>56.5</v>
      </c>
      <c r="AL12" s="130">
        <v>2134.2849999999999</v>
      </c>
      <c r="AM12" s="130">
        <v>11296173</v>
      </c>
      <c r="AN12" s="127">
        <v>0</v>
      </c>
      <c r="AO12" s="127">
        <v>0</v>
      </c>
      <c r="AP12" s="127">
        <v>2.4</v>
      </c>
      <c r="AQ12" s="127">
        <f>(400/619745)*100</f>
        <v>6.4542674809800804E-2</v>
      </c>
      <c r="AR12" s="127">
        <v>2</v>
      </c>
      <c r="AS12" s="130">
        <v>5335</v>
      </c>
      <c r="AT12" s="127">
        <v>73</v>
      </c>
      <c r="AU12" s="127" t="s">
        <v>586</v>
      </c>
      <c r="AV12" s="127">
        <v>2.7272727272727271</v>
      </c>
      <c r="AW12" s="127">
        <v>76</v>
      </c>
      <c r="AX12" s="127" t="s">
        <v>586</v>
      </c>
      <c r="AY12" s="127" t="s">
        <v>586</v>
      </c>
      <c r="AZ12" s="127">
        <v>7.2</v>
      </c>
      <c r="BA12" s="127">
        <v>0</v>
      </c>
      <c r="BB12" s="127" t="s">
        <v>586</v>
      </c>
    </row>
    <row r="13" spans="1:54" x14ac:dyDescent="0.25">
      <c r="A13" s="125" t="s">
        <v>525</v>
      </c>
      <c r="B13" s="126" t="s">
        <v>579</v>
      </c>
      <c r="C13" s="130">
        <v>131659</v>
      </c>
      <c r="D13" s="130">
        <v>754400</v>
      </c>
      <c r="E13" s="127">
        <v>0.24</v>
      </c>
      <c r="F13" s="127"/>
      <c r="G13" s="127">
        <v>0.95297347896175577</v>
      </c>
      <c r="H13" s="127">
        <v>0.96165761988303688</v>
      </c>
      <c r="I13" s="130">
        <v>0</v>
      </c>
      <c r="J13" s="130">
        <v>5</v>
      </c>
      <c r="K13" s="127">
        <v>0.47280270452676121</v>
      </c>
      <c r="L13" s="127" t="s">
        <v>586</v>
      </c>
      <c r="M13" s="127">
        <v>0.62792662390076637</v>
      </c>
      <c r="N13" s="127">
        <v>35.29</v>
      </c>
      <c r="O13" s="131">
        <v>76.599999999999994</v>
      </c>
      <c r="P13" s="131">
        <v>31.7</v>
      </c>
      <c r="Q13" s="131">
        <v>2.8</v>
      </c>
      <c r="R13" s="130">
        <v>85</v>
      </c>
      <c r="S13" s="130">
        <v>207</v>
      </c>
      <c r="T13" s="131">
        <v>0.4</v>
      </c>
      <c r="U13" s="127">
        <v>159.10001</v>
      </c>
      <c r="V13" s="131">
        <v>106</v>
      </c>
      <c r="W13" s="130">
        <v>3500000</v>
      </c>
      <c r="X13" s="130">
        <v>3335813</v>
      </c>
      <c r="Y13" s="130">
        <v>200678</v>
      </c>
      <c r="Z13" s="130">
        <v>0</v>
      </c>
      <c r="AA13" s="130">
        <v>2890000</v>
      </c>
      <c r="AB13" s="130">
        <v>256907</v>
      </c>
      <c r="AC13" s="130">
        <v>16954</v>
      </c>
      <c r="AD13" s="127">
        <v>-1.5314011573791504</v>
      </c>
      <c r="AE13" s="130">
        <v>11</v>
      </c>
      <c r="AF13" s="131">
        <v>35.9</v>
      </c>
      <c r="AG13" s="127">
        <v>71.93777</v>
      </c>
      <c r="AH13" s="127">
        <v>22.7</v>
      </c>
      <c r="AI13" s="127">
        <v>72.852312906760403</v>
      </c>
      <c r="AJ13" s="131">
        <v>23.6</v>
      </c>
      <c r="AK13" s="131">
        <v>55.5</v>
      </c>
      <c r="AL13" s="130">
        <v>2729.855</v>
      </c>
      <c r="AM13" s="130">
        <v>37964306</v>
      </c>
      <c r="AN13" s="127">
        <v>0.04</v>
      </c>
      <c r="AO13" s="127">
        <v>0</v>
      </c>
      <c r="AP13" s="127">
        <v>6.99</v>
      </c>
      <c r="AQ13" s="127">
        <v>0.9999999799999999</v>
      </c>
      <c r="AR13" s="127">
        <f>5100000/AM13*100</f>
        <v>13.433671090945268</v>
      </c>
      <c r="AS13" s="130">
        <v>2050</v>
      </c>
      <c r="AT13" s="127">
        <v>47</v>
      </c>
      <c r="AU13" s="127">
        <v>35</v>
      </c>
      <c r="AV13" s="127">
        <v>0.36435076425755702</v>
      </c>
      <c r="AW13" s="127">
        <v>44.5</v>
      </c>
      <c r="AX13" s="127">
        <v>0.6</v>
      </c>
      <c r="AY13" s="127">
        <v>9.5</v>
      </c>
      <c r="AZ13" s="127">
        <v>11.973944279260397</v>
      </c>
      <c r="BA13" s="127">
        <v>44.686860000000003</v>
      </c>
      <c r="BB13" s="127" t="s">
        <v>586</v>
      </c>
    </row>
    <row r="14" spans="1:54" x14ac:dyDescent="0.25">
      <c r="A14" s="125" t="s">
        <v>560</v>
      </c>
      <c r="B14" s="126" t="s">
        <v>581</v>
      </c>
      <c r="C14" s="130">
        <v>9970</v>
      </c>
      <c r="D14" s="130">
        <v>154000</v>
      </c>
      <c r="E14" s="127">
        <v>0.24</v>
      </c>
      <c r="F14" s="153"/>
      <c r="G14" s="127">
        <v>0.63933198665805036</v>
      </c>
      <c r="H14" s="127">
        <v>0.30459775527262323</v>
      </c>
      <c r="I14" s="130">
        <v>4</v>
      </c>
      <c r="J14" s="130">
        <v>3</v>
      </c>
      <c r="K14" s="127">
        <v>0.48350965942749063</v>
      </c>
      <c r="L14" s="127">
        <v>0.35896159999999999</v>
      </c>
      <c r="M14" s="127">
        <v>0.52855523463787235</v>
      </c>
      <c r="N14" s="127">
        <v>44.3</v>
      </c>
      <c r="O14" s="131">
        <v>66.099999999999994</v>
      </c>
      <c r="P14" s="131">
        <v>16.399999999999999</v>
      </c>
      <c r="Q14" s="131">
        <v>1.2</v>
      </c>
      <c r="R14" s="130">
        <v>82</v>
      </c>
      <c r="S14" s="130">
        <v>175</v>
      </c>
      <c r="T14" s="131">
        <v>7.2</v>
      </c>
      <c r="U14" s="127">
        <v>107.78</v>
      </c>
      <c r="V14" s="131">
        <v>149</v>
      </c>
      <c r="W14" s="154"/>
      <c r="X14" s="130">
        <v>24303</v>
      </c>
      <c r="Y14" s="130">
        <v>25661</v>
      </c>
      <c r="Z14" s="130">
        <v>0</v>
      </c>
      <c r="AA14" s="130">
        <v>29800</v>
      </c>
      <c r="AB14" s="130">
        <v>354435</v>
      </c>
      <c r="AC14" s="130">
        <v>4</v>
      </c>
      <c r="AD14" s="127">
        <v>-0.5801740288734436</v>
      </c>
      <c r="AE14" s="130">
        <v>26</v>
      </c>
      <c r="AF14" s="131">
        <v>8.5</v>
      </c>
      <c r="AG14" s="127">
        <v>73.211879999999994</v>
      </c>
      <c r="AH14" s="127">
        <v>16.2</v>
      </c>
      <c r="AI14" s="127">
        <v>44.090690738062499</v>
      </c>
      <c r="AJ14" s="131">
        <v>33.9</v>
      </c>
      <c r="AK14" s="131">
        <v>74.8</v>
      </c>
      <c r="AL14" s="130">
        <v>1384.5260000000001</v>
      </c>
      <c r="AM14" s="130">
        <v>37578876</v>
      </c>
      <c r="AN14" s="127">
        <v>0</v>
      </c>
      <c r="AO14" s="127">
        <v>0.1</v>
      </c>
      <c r="AP14" s="127">
        <v>26.270000000000007</v>
      </c>
      <c r="AQ14" s="127">
        <v>29</v>
      </c>
      <c r="AR14" s="127">
        <v>15.3</v>
      </c>
      <c r="AS14" s="130">
        <v>2800</v>
      </c>
      <c r="AT14" s="127">
        <v>22</v>
      </c>
      <c r="AU14" s="127">
        <v>59</v>
      </c>
      <c r="AV14" s="127">
        <v>0.19204471688682484</v>
      </c>
      <c r="AW14" s="127">
        <v>65.599998474121094</v>
      </c>
      <c r="AX14" s="127">
        <v>0.73</v>
      </c>
      <c r="AY14" s="127">
        <v>4.18</v>
      </c>
      <c r="AZ14" s="127">
        <v>16.199855086742993</v>
      </c>
      <c r="BA14" s="127">
        <v>25.168240000000001</v>
      </c>
      <c r="BB14" s="127">
        <v>4.334172306347388</v>
      </c>
    </row>
  </sheetData>
  <mergeCells count="1">
    <mergeCell ref="A1:BB1"/>
  </mergeCells>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workbookViewId="0">
      <pane ySplit="1" topLeftCell="A9" activePane="bottomLeft" state="frozen"/>
      <selection pane="bottomLeft" sqref="A1:E1"/>
    </sheetView>
  </sheetViews>
  <sheetFormatPr defaultColWidth="8.85546875" defaultRowHeight="15" x14ac:dyDescent="0.25"/>
  <cols>
    <col min="1" max="1" width="16.42578125" bestFit="1" customWidth="1"/>
    <col min="2" max="2" width="6.42578125" customWidth="1"/>
    <col min="3" max="3" width="10" bestFit="1" customWidth="1"/>
    <col min="4" max="4" width="12.140625" bestFit="1" customWidth="1"/>
    <col min="5" max="5" width="10" bestFit="1" customWidth="1"/>
  </cols>
  <sheetData>
    <row r="1" spans="1:11" x14ac:dyDescent="0.25">
      <c r="A1" t="s">
        <v>617</v>
      </c>
      <c r="B1" t="s">
        <v>0</v>
      </c>
      <c r="C1" t="s">
        <v>618</v>
      </c>
      <c r="D1" t="s">
        <v>619</v>
      </c>
      <c r="E1" t="s">
        <v>269</v>
      </c>
    </row>
    <row r="2" spans="1:11" x14ac:dyDescent="0.25">
      <c r="A2" t="s">
        <v>409</v>
      </c>
      <c r="B2" t="s">
        <v>576</v>
      </c>
      <c r="C2" s="126" t="s">
        <v>634</v>
      </c>
      <c r="D2" s="133" t="s">
        <v>620</v>
      </c>
      <c r="E2" s="133" t="s">
        <v>632</v>
      </c>
      <c r="J2" s="133"/>
      <c r="K2" s="133"/>
    </row>
    <row r="3" spans="1:11" x14ac:dyDescent="0.25">
      <c r="A3" t="s">
        <v>410</v>
      </c>
      <c r="B3" t="s">
        <v>576</v>
      </c>
      <c r="C3" s="126" t="s">
        <v>635</v>
      </c>
      <c r="D3" s="133" t="s">
        <v>620</v>
      </c>
      <c r="E3" s="133" t="s">
        <v>632</v>
      </c>
      <c r="J3" s="133"/>
      <c r="K3" s="133"/>
    </row>
    <row r="4" spans="1:11" x14ac:dyDescent="0.25">
      <c r="A4" t="s">
        <v>411</v>
      </c>
      <c r="B4" t="s">
        <v>576</v>
      </c>
      <c r="C4" s="126" t="s">
        <v>636</v>
      </c>
      <c r="D4" s="133" t="s">
        <v>570</v>
      </c>
      <c r="E4" s="133" t="s">
        <v>633</v>
      </c>
      <c r="J4" s="133"/>
      <c r="K4" s="133"/>
    </row>
    <row r="5" spans="1:11" x14ac:dyDescent="0.25">
      <c r="A5" t="s">
        <v>412</v>
      </c>
      <c r="B5" t="s">
        <v>576</v>
      </c>
      <c r="C5" s="126" t="s">
        <v>637</v>
      </c>
      <c r="D5" s="133" t="s">
        <v>570</v>
      </c>
      <c r="E5" s="133" t="s">
        <v>633</v>
      </c>
      <c r="J5" s="133"/>
      <c r="K5" s="133"/>
    </row>
    <row r="6" spans="1:11" x14ac:dyDescent="0.25">
      <c r="A6" t="s">
        <v>413</v>
      </c>
      <c r="B6" t="s">
        <v>576</v>
      </c>
      <c r="C6" s="126" t="s">
        <v>638</v>
      </c>
      <c r="D6" s="133" t="s">
        <v>620</v>
      </c>
      <c r="E6" s="133" t="s">
        <v>632</v>
      </c>
      <c r="J6" s="133"/>
      <c r="K6" s="133"/>
    </row>
    <row r="7" spans="1:11" x14ac:dyDescent="0.25">
      <c r="A7" t="s">
        <v>414</v>
      </c>
      <c r="B7" t="s">
        <v>576</v>
      </c>
      <c r="C7" s="126" t="s">
        <v>639</v>
      </c>
      <c r="D7" s="133" t="s">
        <v>564</v>
      </c>
      <c r="E7" s="133" t="s">
        <v>629</v>
      </c>
      <c r="J7" s="133"/>
      <c r="K7" s="133"/>
    </row>
    <row r="8" spans="1:11" x14ac:dyDescent="0.25">
      <c r="A8" t="s">
        <v>415</v>
      </c>
      <c r="B8" t="s">
        <v>576</v>
      </c>
      <c r="C8" s="126" t="s">
        <v>640</v>
      </c>
      <c r="D8" s="133" t="s">
        <v>624</v>
      </c>
      <c r="E8" s="133" t="s">
        <v>630</v>
      </c>
      <c r="J8" s="133"/>
      <c r="K8" s="133"/>
    </row>
    <row r="9" spans="1:11" x14ac:dyDescent="0.25">
      <c r="A9" t="s">
        <v>416</v>
      </c>
      <c r="B9" t="s">
        <v>576</v>
      </c>
      <c r="C9" s="126" t="s">
        <v>641</v>
      </c>
      <c r="D9" s="133" t="s">
        <v>625</v>
      </c>
      <c r="E9" s="133" t="s">
        <v>631</v>
      </c>
      <c r="J9" s="133"/>
      <c r="K9" s="133"/>
    </row>
    <row r="10" spans="1:11" x14ac:dyDescent="0.25">
      <c r="A10" t="s">
        <v>417</v>
      </c>
      <c r="B10" t="s">
        <v>576</v>
      </c>
      <c r="C10" s="126" t="s">
        <v>642</v>
      </c>
      <c r="D10" s="133" t="s">
        <v>564</v>
      </c>
      <c r="E10" s="133" t="s">
        <v>629</v>
      </c>
    </row>
    <row r="11" spans="1:11" x14ac:dyDescent="0.25">
      <c r="A11" t="s">
        <v>418</v>
      </c>
      <c r="B11" t="s">
        <v>576</v>
      </c>
      <c r="C11" s="126" t="s">
        <v>643</v>
      </c>
      <c r="D11" s="133" t="s">
        <v>620</v>
      </c>
      <c r="E11" s="133" t="s">
        <v>632</v>
      </c>
    </row>
    <row r="12" spans="1:11" x14ac:dyDescent="0.25">
      <c r="A12" t="s">
        <v>419</v>
      </c>
      <c r="B12" t="s">
        <v>576</v>
      </c>
      <c r="C12" s="126" t="s">
        <v>644</v>
      </c>
      <c r="D12" s="133" t="s">
        <v>570</v>
      </c>
      <c r="E12" s="133" t="s">
        <v>633</v>
      </c>
    </row>
    <row r="13" spans="1:11" x14ac:dyDescent="0.25">
      <c r="A13" t="s">
        <v>420</v>
      </c>
      <c r="B13" t="s">
        <v>576</v>
      </c>
      <c r="C13" s="126" t="s">
        <v>645</v>
      </c>
      <c r="D13" s="133" t="s">
        <v>620</v>
      </c>
      <c r="E13" s="133" t="s">
        <v>632</v>
      </c>
    </row>
    <row r="14" spans="1:11" x14ac:dyDescent="0.25">
      <c r="A14" t="s">
        <v>421</v>
      </c>
      <c r="B14" t="s">
        <v>576</v>
      </c>
      <c r="C14" s="126" t="s">
        <v>646</v>
      </c>
      <c r="D14" s="133" t="s">
        <v>622</v>
      </c>
      <c r="E14" s="133" t="s">
        <v>627</v>
      </c>
    </row>
    <row r="15" spans="1:11" x14ac:dyDescent="0.25">
      <c r="A15" t="s">
        <v>422</v>
      </c>
      <c r="B15" t="s">
        <v>576</v>
      </c>
      <c r="C15" s="126" t="s">
        <v>647</v>
      </c>
      <c r="D15" s="133" t="s">
        <v>623</v>
      </c>
      <c r="E15" s="133" t="s">
        <v>628</v>
      </c>
    </row>
    <row r="16" spans="1:11" x14ac:dyDescent="0.25">
      <c r="A16" t="s">
        <v>423</v>
      </c>
      <c r="B16" t="s">
        <v>576</v>
      </c>
      <c r="C16" s="126" t="s">
        <v>648</v>
      </c>
      <c r="D16" s="133" t="s">
        <v>622</v>
      </c>
      <c r="E16" s="133" t="s">
        <v>627</v>
      </c>
    </row>
    <row r="17" spans="1:5" x14ac:dyDescent="0.25">
      <c r="A17" t="s">
        <v>424</v>
      </c>
      <c r="B17" t="s">
        <v>576</v>
      </c>
      <c r="C17" s="126" t="s">
        <v>649</v>
      </c>
      <c r="D17" s="133" t="s">
        <v>625</v>
      </c>
      <c r="E17" s="133" t="s">
        <v>631</v>
      </c>
    </row>
    <row r="18" spans="1:5" x14ac:dyDescent="0.25">
      <c r="A18" t="s">
        <v>425</v>
      </c>
      <c r="B18" t="s">
        <v>576</v>
      </c>
      <c r="C18" s="126" t="s">
        <v>650</v>
      </c>
      <c r="D18" s="133" t="s">
        <v>625</v>
      </c>
      <c r="E18" s="133" t="s">
        <v>631</v>
      </c>
    </row>
    <row r="19" spans="1:5" x14ac:dyDescent="0.25">
      <c r="A19" t="s">
        <v>426</v>
      </c>
      <c r="B19" t="s">
        <v>576</v>
      </c>
      <c r="C19" s="126" t="s">
        <v>651</v>
      </c>
      <c r="D19" s="133" t="s">
        <v>564</v>
      </c>
      <c r="E19" s="133" t="s">
        <v>629</v>
      </c>
    </row>
    <row r="20" spans="1:5" x14ac:dyDescent="0.25">
      <c r="A20" t="s">
        <v>427</v>
      </c>
      <c r="B20" t="s">
        <v>576</v>
      </c>
      <c r="C20" s="126" t="s">
        <v>652</v>
      </c>
      <c r="D20" s="133" t="s">
        <v>623</v>
      </c>
      <c r="E20" s="133" t="s">
        <v>628</v>
      </c>
    </row>
    <row r="21" spans="1:5" x14ac:dyDescent="0.25">
      <c r="A21" t="s">
        <v>428</v>
      </c>
      <c r="B21" t="s">
        <v>576</v>
      </c>
      <c r="C21" s="126" t="s">
        <v>653</v>
      </c>
      <c r="D21" s="133" t="s">
        <v>620</v>
      </c>
      <c r="E21" s="133" t="s">
        <v>632</v>
      </c>
    </row>
    <row r="22" spans="1:5" x14ac:dyDescent="0.25">
      <c r="A22" t="s">
        <v>429</v>
      </c>
      <c r="B22" t="s">
        <v>576</v>
      </c>
      <c r="C22" s="126" t="s">
        <v>654</v>
      </c>
      <c r="D22" s="133" t="s">
        <v>623</v>
      </c>
      <c r="E22" s="133" t="s">
        <v>628</v>
      </c>
    </row>
    <row r="23" spans="1:5" x14ac:dyDescent="0.25">
      <c r="A23" t="s">
        <v>430</v>
      </c>
      <c r="B23" t="s">
        <v>576</v>
      </c>
      <c r="C23" s="126" t="s">
        <v>655</v>
      </c>
      <c r="D23" s="133" t="s">
        <v>564</v>
      </c>
      <c r="E23" s="133" t="s">
        <v>629</v>
      </c>
    </row>
    <row r="24" spans="1:5" x14ac:dyDescent="0.25">
      <c r="A24" t="s">
        <v>431</v>
      </c>
      <c r="B24" t="s">
        <v>576</v>
      </c>
      <c r="C24" s="126" t="s">
        <v>656</v>
      </c>
      <c r="D24" s="133" t="s">
        <v>564</v>
      </c>
      <c r="E24" s="133" t="s">
        <v>629</v>
      </c>
    </row>
    <row r="25" spans="1:5" x14ac:dyDescent="0.25">
      <c r="A25" t="s">
        <v>432</v>
      </c>
      <c r="B25" t="s">
        <v>576</v>
      </c>
      <c r="C25" s="126" t="s">
        <v>657</v>
      </c>
      <c r="D25" s="133" t="s">
        <v>624</v>
      </c>
      <c r="E25" s="133" t="s">
        <v>630</v>
      </c>
    </row>
    <row r="26" spans="1:5" x14ac:dyDescent="0.25">
      <c r="A26" t="s">
        <v>433</v>
      </c>
      <c r="B26" t="s">
        <v>576</v>
      </c>
      <c r="C26" s="126" t="s">
        <v>658</v>
      </c>
      <c r="D26" s="133" t="s">
        <v>564</v>
      </c>
      <c r="E26" s="133" t="s">
        <v>629</v>
      </c>
    </row>
    <row r="27" spans="1:5" x14ac:dyDescent="0.25">
      <c r="A27" t="s">
        <v>434</v>
      </c>
      <c r="B27" t="s">
        <v>576</v>
      </c>
      <c r="C27" s="126" t="s">
        <v>659</v>
      </c>
      <c r="D27" s="133" t="s">
        <v>564</v>
      </c>
      <c r="E27" s="133" t="s">
        <v>629</v>
      </c>
    </row>
    <row r="28" spans="1:5" x14ac:dyDescent="0.25">
      <c r="A28" t="s">
        <v>435</v>
      </c>
      <c r="B28" t="s">
        <v>576</v>
      </c>
      <c r="C28" s="126" t="s">
        <v>660</v>
      </c>
      <c r="D28" s="133" t="s">
        <v>625</v>
      </c>
      <c r="E28" s="133" t="s">
        <v>631</v>
      </c>
    </row>
    <row r="29" spans="1:5" x14ac:dyDescent="0.25">
      <c r="A29" t="s">
        <v>436</v>
      </c>
      <c r="B29" t="s">
        <v>576</v>
      </c>
      <c r="C29" s="126" t="s">
        <v>661</v>
      </c>
      <c r="D29" s="133" t="s">
        <v>623</v>
      </c>
      <c r="E29" s="133" t="s">
        <v>628</v>
      </c>
    </row>
    <row r="30" spans="1:5" x14ac:dyDescent="0.25">
      <c r="A30" t="s">
        <v>437</v>
      </c>
      <c r="B30" t="s">
        <v>576</v>
      </c>
      <c r="C30" s="126" t="s">
        <v>662</v>
      </c>
      <c r="D30" s="133" t="s">
        <v>622</v>
      </c>
      <c r="E30" s="133" t="s">
        <v>627</v>
      </c>
    </row>
    <row r="31" spans="1:5" x14ac:dyDescent="0.25">
      <c r="A31" t="s">
        <v>438</v>
      </c>
      <c r="B31" t="s">
        <v>576</v>
      </c>
      <c r="C31" s="126" t="s">
        <v>663</v>
      </c>
      <c r="D31" s="133" t="s">
        <v>621</v>
      </c>
      <c r="E31" s="133" t="s">
        <v>626</v>
      </c>
    </row>
    <row r="32" spans="1:5" x14ac:dyDescent="0.25">
      <c r="A32" t="s">
        <v>439</v>
      </c>
      <c r="B32" t="s">
        <v>576</v>
      </c>
      <c r="C32" s="126" t="s">
        <v>664</v>
      </c>
      <c r="D32" s="133" t="s">
        <v>620</v>
      </c>
      <c r="E32" s="133" t="s">
        <v>632</v>
      </c>
    </row>
    <row r="33" spans="1:5" x14ac:dyDescent="0.25">
      <c r="A33" t="s">
        <v>440</v>
      </c>
      <c r="B33" t="s">
        <v>576</v>
      </c>
      <c r="C33" s="126" t="s">
        <v>665</v>
      </c>
      <c r="D33" s="133" t="s">
        <v>620</v>
      </c>
      <c r="E33" s="133" t="s">
        <v>632</v>
      </c>
    </row>
    <row r="34" spans="1:5" x14ac:dyDescent="0.25">
      <c r="A34" t="s">
        <v>441</v>
      </c>
      <c r="B34" t="s">
        <v>576</v>
      </c>
      <c r="C34" s="126" t="s">
        <v>666</v>
      </c>
      <c r="D34" s="133" t="s">
        <v>620</v>
      </c>
      <c r="E34" s="133" t="s">
        <v>632</v>
      </c>
    </row>
    <row r="35" spans="1:5" x14ac:dyDescent="0.25">
      <c r="A35" t="s">
        <v>442</v>
      </c>
      <c r="B35" t="s">
        <v>576</v>
      </c>
      <c r="C35" s="126" t="s">
        <v>667</v>
      </c>
      <c r="D35" s="133" t="s">
        <v>625</v>
      </c>
      <c r="E35" s="133" t="s">
        <v>631</v>
      </c>
    </row>
    <row r="36" spans="1:5" x14ac:dyDescent="0.25">
      <c r="A36" t="s">
        <v>443</v>
      </c>
      <c r="B36" t="s">
        <v>576</v>
      </c>
      <c r="C36" s="126" t="s">
        <v>668</v>
      </c>
      <c r="D36" s="133" t="s">
        <v>622</v>
      </c>
      <c r="E36" s="133" t="s">
        <v>627</v>
      </c>
    </row>
    <row r="37" spans="1:5" x14ac:dyDescent="0.25">
      <c r="A37" t="s">
        <v>444</v>
      </c>
      <c r="B37" t="s">
        <v>576</v>
      </c>
      <c r="C37" s="126" t="s">
        <v>669</v>
      </c>
      <c r="D37" s="133" t="s">
        <v>622</v>
      </c>
      <c r="E37" s="133" t="s">
        <v>627</v>
      </c>
    </row>
    <row r="38" spans="1:5" x14ac:dyDescent="0.25">
      <c r="A38" t="s">
        <v>445</v>
      </c>
      <c r="B38" t="s">
        <v>576</v>
      </c>
      <c r="C38" s="126" t="s">
        <v>670</v>
      </c>
      <c r="D38" s="133" t="s">
        <v>620</v>
      </c>
      <c r="E38" s="133" t="s">
        <v>632</v>
      </c>
    </row>
    <row r="39" spans="1:5" x14ac:dyDescent="0.25">
      <c r="A39" t="s">
        <v>446</v>
      </c>
      <c r="B39" t="s">
        <v>576</v>
      </c>
      <c r="C39" s="126" t="s">
        <v>671</v>
      </c>
      <c r="D39" s="133" t="s">
        <v>625</v>
      </c>
      <c r="E39" s="133" t="s">
        <v>631</v>
      </c>
    </row>
    <row r="40" spans="1:5" x14ac:dyDescent="0.25">
      <c r="A40" t="s">
        <v>447</v>
      </c>
      <c r="B40" t="s">
        <v>576</v>
      </c>
      <c r="C40" s="126" t="s">
        <v>672</v>
      </c>
      <c r="D40" s="133" t="s">
        <v>623</v>
      </c>
      <c r="E40" s="133" t="s">
        <v>628</v>
      </c>
    </row>
    <row r="41" spans="1:5" x14ac:dyDescent="0.25">
      <c r="A41" t="s">
        <v>448</v>
      </c>
      <c r="B41" t="s">
        <v>576</v>
      </c>
      <c r="C41" s="126" t="s">
        <v>673</v>
      </c>
      <c r="D41" s="133" t="s">
        <v>623</v>
      </c>
      <c r="E41" s="133" t="s">
        <v>628</v>
      </c>
    </row>
    <row r="42" spans="1:5" x14ac:dyDescent="0.25">
      <c r="A42" t="s">
        <v>449</v>
      </c>
      <c r="B42" t="s">
        <v>576</v>
      </c>
      <c r="C42" s="126" t="s">
        <v>674</v>
      </c>
      <c r="D42" s="133" t="s">
        <v>564</v>
      </c>
      <c r="E42" s="133" t="s">
        <v>629</v>
      </c>
    </row>
    <row r="43" spans="1:5" x14ac:dyDescent="0.25">
      <c r="A43" t="s">
        <v>450</v>
      </c>
      <c r="B43" t="s">
        <v>576</v>
      </c>
      <c r="C43" s="126" t="s">
        <v>675</v>
      </c>
      <c r="D43" s="133" t="s">
        <v>620</v>
      </c>
      <c r="E43" s="133" t="s">
        <v>632</v>
      </c>
    </row>
    <row r="44" spans="1:5" x14ac:dyDescent="0.25">
      <c r="A44" t="s">
        <v>451</v>
      </c>
      <c r="B44" t="s">
        <v>576</v>
      </c>
      <c r="C44" s="126" t="s">
        <v>676</v>
      </c>
      <c r="D44" s="133" t="s">
        <v>620</v>
      </c>
      <c r="E44" s="133" t="s">
        <v>632</v>
      </c>
    </row>
    <row r="45" spans="1:5" x14ac:dyDescent="0.25">
      <c r="A45" t="s">
        <v>452</v>
      </c>
      <c r="B45" t="s">
        <v>576</v>
      </c>
      <c r="C45" s="126" t="s">
        <v>677</v>
      </c>
      <c r="D45" s="133" t="s">
        <v>620</v>
      </c>
      <c r="E45" s="133" t="s">
        <v>632</v>
      </c>
    </row>
    <row r="46" spans="1:5" x14ac:dyDescent="0.25">
      <c r="A46" t="s">
        <v>453</v>
      </c>
      <c r="B46" t="s">
        <v>576</v>
      </c>
      <c r="C46" s="126" t="s">
        <v>678</v>
      </c>
      <c r="D46" s="133" t="s">
        <v>570</v>
      </c>
      <c r="E46" s="133" t="s">
        <v>633</v>
      </c>
    </row>
    <row r="47" spans="1:5" x14ac:dyDescent="0.25">
      <c r="A47" t="s">
        <v>454</v>
      </c>
      <c r="B47" t="s">
        <v>576</v>
      </c>
      <c r="C47" s="126" t="s">
        <v>679</v>
      </c>
      <c r="D47" s="133" t="s">
        <v>624</v>
      </c>
      <c r="E47" s="133" t="s">
        <v>630</v>
      </c>
    </row>
    <row r="48" spans="1:5" x14ac:dyDescent="0.25">
      <c r="A48" t="s">
        <v>455</v>
      </c>
      <c r="B48" t="s">
        <v>576</v>
      </c>
      <c r="C48" s="126" t="s">
        <v>680</v>
      </c>
      <c r="D48" s="133" t="s">
        <v>620</v>
      </c>
      <c r="E48" s="133" t="s">
        <v>632</v>
      </c>
    </row>
    <row r="49" spans="3:3" x14ac:dyDescent="0.25">
      <c r="C49" s="126"/>
    </row>
    <row r="50" spans="3:3" x14ac:dyDescent="0.25">
      <c r="C50" s="126"/>
    </row>
    <row r="51" spans="3:3" x14ac:dyDescent="0.25">
      <c r="C51" s="126"/>
    </row>
    <row r="52" spans="3:3" x14ac:dyDescent="0.25">
      <c r="C52" s="126"/>
    </row>
    <row r="53" spans="3:3" x14ac:dyDescent="0.25">
      <c r="C53" s="126"/>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Home</vt:lpstr>
      <vt:lpstr>Table of Contents</vt:lpstr>
      <vt:lpstr>INFORM GHoA 2015 (a-z)</vt:lpstr>
      <vt:lpstr>Hazard &amp; Exposure</vt:lpstr>
      <vt:lpstr>Vulnerability</vt:lpstr>
      <vt:lpstr>Lack of Coping Capacity</vt:lpstr>
      <vt:lpstr>Indicator Data</vt:lpstr>
      <vt:lpstr>Indicator Data (national)</vt:lpstr>
      <vt:lpstr>KEN_ADM Lookup</vt:lpstr>
      <vt:lpstr>UGA_ADM Lookup</vt:lpstr>
      <vt:lpstr>Indicator Metadata</vt:lpstr>
      <vt:lpstr>'Indicator Metadata'!_2012.06.11___GFM_Indicator_List</vt:lpstr>
      <vt:lpstr>'INFORM GHoA 2015 (a-z)'!Print_Area</vt:lpstr>
      <vt:lpstr>'INFORM GHoA 2015 (a-z)'!Print_Titles</vt:lpstr>
    </vt:vector>
  </TitlesOfParts>
  <Company>JRC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2013-10-11T13:18:42Z</cp:lastPrinted>
  <dcterms:created xsi:type="dcterms:W3CDTF">2013-01-24T09:37:59Z</dcterms:created>
  <dcterms:modified xsi:type="dcterms:W3CDTF">2015-06-01T06:27:19Z</dcterms:modified>
</cp:coreProperties>
</file>